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ichal\Desktop\usun\"/>
    </mc:Choice>
  </mc:AlternateContent>
  <bookViews>
    <workbookView xWindow="0" yWindow="0" windowWidth="28800" windowHeight="11715"/>
  </bookViews>
  <sheets>
    <sheet name="Dane inwestycji" sheetId="2" r:id="rId1"/>
    <sheet name="wykresy" sheetId="7" r:id="rId2"/>
    <sheet name="PL &amp; Cash Flow" sheetId="5" state="hidden" r:id="rId3"/>
    <sheet name="Charts" sheetId="6" state="hidden" r:id="rId4"/>
  </sheets>
  <definedNames>
    <definedName name="Annuity">'Dane inwestycji'!$I$33</definedName>
    <definedName name="CFATE">OFFSET('PL &amp; Cash Flow'!$G$63,0,0,1,'Dane inwestycji'!$F$24+1)</definedName>
    <definedName name="DeptBalance">OFFSET('PL &amp; Cash Flow'!$G$79,0,0,1,'Dane inwestycji'!$F$24+1)</definedName>
    <definedName name="DSCR">OFFSET('PL &amp; Cash Flow'!$G$59,0,0,1,'Dane inwestycji'!$F$24+1)</definedName>
    <definedName name="Equal_P">'Dane inwestycji'!$J$33</definedName>
    <definedName name="InterestPayment">OFFSET('PL &amp; Cash Flow'!$G$77,0,0,1,'Dane inwestycji'!$F$24+1)</definedName>
    <definedName name="Jahre">OFFSET('PL &amp; Cash Flow'!$G$13,0,0,1,'Dane inwestycji'!$F$24+1)</definedName>
    <definedName name="_xlnm.Print_Area" localSheetId="0">'Dane inwestycji'!$A$1:$H$73</definedName>
    <definedName name="_xlnm.Print_Area" localSheetId="2">'PL &amp; Cash Flow'!$A$1:$AF$68</definedName>
    <definedName name="OperatingCashFlow">OFFSET('PL &amp; Cash Flow'!$G$53,0,0,1,'Dane inwestycji'!$F$24+1)</definedName>
    <definedName name="RepaymentDept">OFFSET('PL &amp; Cash Flow'!$G$78,0,0,1,'Dane inwestycji'!$F$24+1)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  <c r="D1" i="7"/>
  <c r="F67" i="2" l="1"/>
  <c r="F68" i="2"/>
  <c r="F64" i="2" l="1"/>
  <c r="F60" i="2"/>
  <c r="F56" i="2"/>
  <c r="F53" i="2"/>
  <c r="F52" i="2"/>
  <c r="E34" i="5"/>
  <c r="F31" i="2"/>
  <c r="A2" i="5" l="1"/>
  <c r="W17" i="5" l="1"/>
  <c r="G56" i="2" l="1"/>
  <c r="G51" i="2"/>
  <c r="F30" i="2" l="1"/>
  <c r="X17" i="5" l="1"/>
  <c r="Y17" i="5" s="1"/>
  <c r="Z17" i="5" s="1"/>
  <c r="AA17" i="5" s="1"/>
  <c r="AB17" i="5" s="1"/>
  <c r="AC17" i="5" s="1"/>
  <c r="AD17" i="5" s="1"/>
  <c r="AE17" i="5" s="1"/>
  <c r="AF17" i="5" s="1"/>
  <c r="AG21" i="5" l="1"/>
  <c r="AH21" i="5"/>
  <c r="AI21" i="5"/>
  <c r="AJ21" i="5"/>
  <c r="AK21" i="5"/>
  <c r="AL21" i="5"/>
  <c r="AM21" i="5"/>
  <c r="AN21" i="5"/>
  <c r="AO21" i="5"/>
  <c r="AP21" i="5"/>
  <c r="E44" i="2" l="1"/>
  <c r="E47" i="2" s="1"/>
  <c r="F51" i="2"/>
  <c r="E51" i="2" s="1"/>
  <c r="D35" i="5" l="1"/>
  <c r="AG15" i="5" l="1"/>
  <c r="AH15" i="5"/>
  <c r="AI15" i="5"/>
  <c r="AJ15" i="5"/>
  <c r="AK15" i="5"/>
  <c r="AL15" i="5"/>
  <c r="AM15" i="5"/>
  <c r="AN15" i="5"/>
  <c r="AO15" i="5"/>
  <c r="AP15" i="5"/>
  <c r="AG22" i="5"/>
  <c r="AG82" i="5" s="1"/>
  <c r="AH22" i="5"/>
  <c r="AH82" i="5" s="1"/>
  <c r="AI22" i="5"/>
  <c r="AI82" i="5" s="1"/>
  <c r="AJ22" i="5"/>
  <c r="AJ82" i="5" s="1"/>
  <c r="AK22" i="5"/>
  <c r="AL22" i="5"/>
  <c r="AL82" i="5" s="1"/>
  <c r="AM22" i="5"/>
  <c r="AM82" i="5" s="1"/>
  <c r="AN22" i="5"/>
  <c r="AN82" i="5" s="1"/>
  <c r="AO22" i="5"/>
  <c r="AO82" i="5" s="1"/>
  <c r="AP22" i="5"/>
  <c r="AP82" i="5" s="1"/>
  <c r="AL27" i="5"/>
  <c r="AM27" i="5"/>
  <c r="AN27" i="5"/>
  <c r="AO27" i="5"/>
  <c r="AP27" i="5"/>
  <c r="AL47" i="5" l="1"/>
  <c r="AG47" i="5"/>
  <c r="AJ47" i="5"/>
  <c r="AK47" i="5"/>
  <c r="AO47" i="5"/>
  <c r="AK82" i="5"/>
  <c r="AP47" i="5"/>
  <c r="AH47" i="5"/>
  <c r="AN47" i="5"/>
  <c r="AM47" i="5"/>
  <c r="AI47" i="5"/>
  <c r="E30" i="5"/>
  <c r="E39" i="5" l="1"/>
  <c r="E49" i="5"/>
  <c r="E50" i="5"/>
  <c r="AI50" i="5" s="1"/>
  <c r="E31" i="5"/>
  <c r="E32" i="5"/>
  <c r="E33" i="5"/>
  <c r="D34" i="5"/>
  <c r="E15" i="5"/>
  <c r="E17" i="5"/>
  <c r="E21" i="5"/>
  <c r="E22" i="5"/>
  <c r="D15" i="5"/>
  <c r="D17" i="5"/>
  <c r="D21" i="5"/>
  <c r="D22" i="5"/>
  <c r="D82" i="5" s="1"/>
  <c r="G18" i="5"/>
  <c r="G24" i="5" s="1"/>
  <c r="G85" i="5" s="1"/>
  <c r="F78" i="2"/>
  <c r="F81" i="2"/>
  <c r="F83" i="2" s="1"/>
  <c r="C82" i="5"/>
  <c r="G82" i="5"/>
  <c r="B4" i="6"/>
  <c r="B22" i="5"/>
  <c r="B82" i="5" s="1"/>
  <c r="B21" i="5"/>
  <c r="C79" i="5"/>
  <c r="F79" i="5"/>
  <c r="B79" i="5"/>
  <c r="C77" i="5"/>
  <c r="D77" i="5"/>
  <c r="E77" i="5"/>
  <c r="G77" i="5"/>
  <c r="C78" i="5"/>
  <c r="D78" i="5"/>
  <c r="E78" i="5"/>
  <c r="G78" i="5"/>
  <c r="G57" i="5"/>
  <c r="A4" i="5"/>
  <c r="AD21" i="5" l="1"/>
  <c r="AE21" i="5"/>
  <c r="AB21" i="5"/>
  <c r="AF21" i="5"/>
  <c r="AC21" i="5"/>
  <c r="W21" i="5"/>
  <c r="AA21" i="5"/>
  <c r="X21" i="5"/>
  <c r="Y21" i="5"/>
  <c r="Z21" i="5"/>
  <c r="X15" i="5"/>
  <c r="AA15" i="5"/>
  <c r="W15" i="5"/>
  <c r="Z15" i="5"/>
  <c r="Y15" i="5"/>
  <c r="N21" i="5"/>
  <c r="P21" i="5"/>
  <c r="R21" i="5"/>
  <c r="T21" i="5"/>
  <c r="V21" i="5"/>
  <c r="O21" i="5"/>
  <c r="Q21" i="5"/>
  <c r="S21" i="5"/>
  <c r="U21" i="5"/>
  <c r="I22" i="5"/>
  <c r="I82" i="5" s="1"/>
  <c r="H15" i="5"/>
  <c r="I17" i="5"/>
  <c r="AI17" i="5"/>
  <c r="AM17" i="5"/>
  <c r="AJ17" i="5"/>
  <c r="AN17" i="5"/>
  <c r="AG17" i="5"/>
  <c r="AK17" i="5"/>
  <c r="AO17" i="5"/>
  <c r="AH17" i="5"/>
  <c r="AL17" i="5"/>
  <c r="AP17" i="5"/>
  <c r="AN50" i="5"/>
  <c r="AP50" i="5"/>
  <c r="AM50" i="5"/>
  <c r="AO50" i="5"/>
  <c r="AK50" i="5"/>
  <c r="AG50" i="5"/>
  <c r="AJ50" i="5"/>
  <c r="AL50" i="5"/>
  <c r="AH50" i="5"/>
  <c r="J17" i="5"/>
  <c r="E82" i="5"/>
  <c r="F84" i="2"/>
  <c r="D79" i="5"/>
  <c r="AE22" i="5"/>
  <c r="AE82" i="5" s="1"/>
  <c r="AC15" i="5"/>
  <c r="AB22" i="5"/>
  <c r="AB82" i="5" s="1"/>
  <c r="I21" i="5"/>
  <c r="U17" i="5"/>
  <c r="S17" i="5"/>
  <c r="Q17" i="5"/>
  <c r="O17" i="5"/>
  <c r="M17" i="5"/>
  <c r="K17" i="5"/>
  <c r="H17" i="5"/>
  <c r="AF22" i="5"/>
  <c r="AF82" i="5" s="1"/>
  <c r="AD15" i="5"/>
  <c r="AC22" i="5"/>
  <c r="AC82" i="5" s="1"/>
  <c r="Z22" i="5"/>
  <c r="Z82" i="5" s="1"/>
  <c r="Y22" i="5"/>
  <c r="Y82" i="5" s="1"/>
  <c r="X22" i="5"/>
  <c r="X82" i="5" s="1"/>
  <c r="W22" i="5"/>
  <c r="W82" i="5" s="1"/>
  <c r="V22" i="5"/>
  <c r="V82" i="5" s="1"/>
  <c r="U22" i="5"/>
  <c r="U82" i="5" s="1"/>
  <c r="T22" i="5"/>
  <c r="T82" i="5" s="1"/>
  <c r="S22" i="5"/>
  <c r="S82" i="5" s="1"/>
  <c r="R22" i="5"/>
  <c r="R82" i="5" s="1"/>
  <c r="Q22" i="5"/>
  <c r="Q82" i="5" s="1"/>
  <c r="P22" i="5"/>
  <c r="P82" i="5" s="1"/>
  <c r="O22" i="5"/>
  <c r="O82" i="5" s="1"/>
  <c r="N22" i="5"/>
  <c r="N82" i="5" s="1"/>
  <c r="M22" i="5"/>
  <c r="M82" i="5" s="1"/>
  <c r="L22" i="5"/>
  <c r="L82" i="5" s="1"/>
  <c r="K22" i="5"/>
  <c r="K82" i="5" s="1"/>
  <c r="J22" i="5"/>
  <c r="J82" i="5" s="1"/>
  <c r="I15" i="5"/>
  <c r="H22" i="5"/>
  <c r="AB15" i="5"/>
  <c r="AA22" i="5"/>
  <c r="AA82" i="5" s="1"/>
  <c r="M21" i="5"/>
  <c r="L21" i="5"/>
  <c r="K21" i="5"/>
  <c r="J21" i="5"/>
  <c r="H21" i="5"/>
  <c r="V17" i="5"/>
  <c r="T17" i="5"/>
  <c r="R17" i="5"/>
  <c r="P17" i="5"/>
  <c r="N17" i="5"/>
  <c r="L17" i="5"/>
  <c r="AF15" i="5"/>
  <c r="AE15" i="5"/>
  <c r="AD22" i="5"/>
  <c r="AD82" i="5" s="1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U18" i="5" l="1"/>
  <c r="U46" i="5" s="1"/>
  <c r="U49" i="5" s="1"/>
  <c r="Q18" i="5"/>
  <c r="Q46" i="5" s="1"/>
  <c r="Q49" i="5" s="1"/>
  <c r="I18" i="5"/>
  <c r="I46" i="5" s="1"/>
  <c r="I49" i="5" s="1"/>
  <c r="O18" i="5"/>
  <c r="O24" i="5" s="1"/>
  <c r="O25" i="5" s="1"/>
  <c r="Y18" i="5"/>
  <c r="Y46" i="5" s="1"/>
  <c r="Y49" i="5" s="1"/>
  <c r="I47" i="5"/>
  <c r="I50" i="5" s="1"/>
  <c r="AN18" i="5"/>
  <c r="AN24" i="5" s="1"/>
  <c r="AI18" i="5"/>
  <c r="AI46" i="5" s="1"/>
  <c r="AI49" i="5" s="1"/>
  <c r="AI51" i="5" s="1"/>
  <c r="AJ18" i="5"/>
  <c r="AJ46" i="5" s="1"/>
  <c r="AJ49" i="5" s="1"/>
  <c r="AJ51" i="5" s="1"/>
  <c r="AL18" i="5"/>
  <c r="AL24" i="5" s="1"/>
  <c r="AG18" i="5"/>
  <c r="AG24" i="5" s="1"/>
  <c r="AM18" i="5"/>
  <c r="AM24" i="5" s="1"/>
  <c r="AP18" i="5"/>
  <c r="AP46" i="5" s="1"/>
  <c r="AP49" i="5" s="1"/>
  <c r="AP51" i="5" s="1"/>
  <c r="AK18" i="5"/>
  <c r="AK46" i="5" s="1"/>
  <c r="AK49" i="5" s="1"/>
  <c r="AK51" i="5" s="1"/>
  <c r="AO18" i="5"/>
  <c r="AO46" i="5" s="1"/>
  <c r="AO49" i="5" s="1"/>
  <c r="AO51" i="5" s="1"/>
  <c r="AH18" i="5"/>
  <c r="F71" i="5"/>
  <c r="AI71" i="5" s="1"/>
  <c r="F85" i="2"/>
  <c r="J47" i="5"/>
  <c r="J50" i="5" s="1"/>
  <c r="N47" i="5"/>
  <c r="N50" i="5" s="1"/>
  <c r="R47" i="5"/>
  <c r="R50" i="5" s="1"/>
  <c r="V47" i="5"/>
  <c r="V50" i="5" s="1"/>
  <c r="F21" i="5"/>
  <c r="F22" i="5"/>
  <c r="F82" i="5" s="1"/>
  <c r="F15" i="5"/>
  <c r="S18" i="5"/>
  <c r="S46" i="5" s="1"/>
  <c r="S49" i="5" s="1"/>
  <c r="J18" i="5"/>
  <c r="J46" i="5" s="1"/>
  <c r="J49" i="5" s="1"/>
  <c r="P18" i="5"/>
  <c r="P24" i="5" s="1"/>
  <c r="P25" i="5" s="1"/>
  <c r="M18" i="5"/>
  <c r="M46" i="5" s="1"/>
  <c r="M49" i="5" s="1"/>
  <c r="AF18" i="5"/>
  <c r="AF46" i="5" s="1"/>
  <c r="AF49" i="5" s="1"/>
  <c r="L18" i="5"/>
  <c r="L46" i="5" s="1"/>
  <c r="L49" i="5" s="1"/>
  <c r="T18" i="5"/>
  <c r="T46" i="5" s="1"/>
  <c r="T49" i="5" s="1"/>
  <c r="H18" i="5"/>
  <c r="H24" i="5" s="1"/>
  <c r="N18" i="5"/>
  <c r="N24" i="5" s="1"/>
  <c r="N25" i="5" s="1"/>
  <c r="V18" i="5"/>
  <c r="V24" i="5" s="1"/>
  <c r="V25" i="5" s="1"/>
  <c r="X18" i="5"/>
  <c r="X46" i="5" s="1"/>
  <c r="X49" i="5" s="1"/>
  <c r="AA18" i="5"/>
  <c r="AA46" i="5" s="1"/>
  <c r="AA49" i="5" s="1"/>
  <c r="R18" i="5"/>
  <c r="R46" i="5" s="1"/>
  <c r="R49" i="5" s="1"/>
  <c r="Z18" i="5"/>
  <c r="Z46" i="5" s="1"/>
  <c r="Z49" i="5" s="1"/>
  <c r="W18" i="5"/>
  <c r="W46" i="5" s="1"/>
  <c r="W49" i="5" s="1"/>
  <c r="AE18" i="5"/>
  <c r="AE24" i="5" s="1"/>
  <c r="Z47" i="5"/>
  <c r="Z50" i="5" s="1"/>
  <c r="M47" i="5"/>
  <c r="M50" i="5" s="1"/>
  <c r="Q47" i="5"/>
  <c r="Q50" i="5" s="1"/>
  <c r="U47" i="5"/>
  <c r="U50" i="5" s="1"/>
  <c r="Y47" i="5"/>
  <c r="Y50" i="5" s="1"/>
  <c r="AC47" i="5"/>
  <c r="AC50" i="5" s="1"/>
  <c r="K18" i="5"/>
  <c r="K46" i="5" s="1"/>
  <c r="K49" i="5" s="1"/>
  <c r="T47" i="5"/>
  <c r="T50" i="5" s="1"/>
  <c r="S47" i="5"/>
  <c r="S50" i="5" s="1"/>
  <c r="K47" i="5"/>
  <c r="K50" i="5" s="1"/>
  <c r="O47" i="5"/>
  <c r="O50" i="5" s="1"/>
  <c r="W47" i="5"/>
  <c r="W50" i="5" s="1"/>
  <c r="L47" i="5"/>
  <c r="L50" i="5" s="1"/>
  <c r="P47" i="5"/>
  <c r="P50" i="5" s="1"/>
  <c r="X47" i="5"/>
  <c r="X50" i="5" s="1"/>
  <c r="AE47" i="5"/>
  <c r="AE50" i="5" s="1"/>
  <c r="AB47" i="5"/>
  <c r="AB50" i="5" s="1"/>
  <c r="H47" i="5"/>
  <c r="AB18" i="5"/>
  <c r="AD18" i="5"/>
  <c r="H82" i="5"/>
  <c r="AD47" i="5"/>
  <c r="AD50" i="5" s="1"/>
  <c r="AA47" i="5"/>
  <c r="AA50" i="5" s="1"/>
  <c r="AF47" i="5"/>
  <c r="AF50" i="5" s="1"/>
  <c r="AC18" i="5"/>
  <c r="J51" i="5" l="1"/>
  <c r="AN46" i="5"/>
  <c r="AN49" i="5" s="1"/>
  <c r="AN51" i="5" s="1"/>
  <c r="AO52" i="5" s="1"/>
  <c r="Y24" i="5"/>
  <c r="Y25" i="5" s="1"/>
  <c r="AM46" i="5"/>
  <c r="AM49" i="5" s="1"/>
  <c r="AM51" i="5" s="1"/>
  <c r="I51" i="5"/>
  <c r="Q24" i="5"/>
  <c r="Q25" i="5" s="1"/>
  <c r="O46" i="5"/>
  <c r="O49" i="5" s="1"/>
  <c r="O51" i="5" s="1"/>
  <c r="U24" i="5"/>
  <c r="AF71" i="5"/>
  <c r="I24" i="5"/>
  <c r="I25" i="5" s="1"/>
  <c r="AJ24" i="5"/>
  <c r="AJ25" i="5" s="1"/>
  <c r="AL46" i="5"/>
  <c r="AL49" i="5" s="1"/>
  <c r="AL51" i="5" s="1"/>
  <c r="AI24" i="5"/>
  <c r="AI25" i="5" s="1"/>
  <c r="AK24" i="5"/>
  <c r="AK25" i="5" s="1"/>
  <c r="AG46" i="5"/>
  <c r="AG49" i="5" s="1"/>
  <c r="AG51" i="5" s="1"/>
  <c r="AJ52" i="5"/>
  <c r="AP24" i="5"/>
  <c r="AP25" i="5" s="1"/>
  <c r="AK52" i="5"/>
  <c r="AO24" i="5"/>
  <c r="AO25" i="5" s="1"/>
  <c r="AG25" i="5"/>
  <c r="AH46" i="5"/>
  <c r="AH49" i="5" s="1"/>
  <c r="AH51" i="5" s="1"/>
  <c r="AI52" i="5" s="1"/>
  <c r="AH24" i="5"/>
  <c r="AM25" i="5"/>
  <c r="AM28" i="5"/>
  <c r="AM29" i="5" s="1"/>
  <c r="AL28" i="5"/>
  <c r="AL29" i="5" s="1"/>
  <c r="AL25" i="5"/>
  <c r="AN28" i="5"/>
  <c r="AN29" i="5" s="1"/>
  <c r="AN25" i="5"/>
  <c r="AB71" i="5"/>
  <c r="I71" i="5"/>
  <c r="R71" i="5"/>
  <c r="AH71" i="5"/>
  <c r="AP52" i="5"/>
  <c r="AN71" i="5"/>
  <c r="AL71" i="5"/>
  <c r="AP71" i="5"/>
  <c r="AJ71" i="5"/>
  <c r="AG71" i="5"/>
  <c r="AO71" i="5"/>
  <c r="AM71" i="5"/>
  <c r="AK71" i="5"/>
  <c r="W71" i="5"/>
  <c r="Y71" i="5"/>
  <c r="S71" i="5"/>
  <c r="M71" i="5"/>
  <c r="G71" i="5"/>
  <c r="AA71" i="5"/>
  <c r="AD71" i="5"/>
  <c r="J71" i="5"/>
  <c r="N71" i="5"/>
  <c r="T71" i="5"/>
  <c r="V71" i="5"/>
  <c r="Z71" i="5"/>
  <c r="AC71" i="5"/>
  <c r="H71" i="5"/>
  <c r="X71" i="5"/>
  <c r="Q71" i="5"/>
  <c r="U71" i="5"/>
  <c r="L71" i="5"/>
  <c r="AE71" i="5"/>
  <c r="K71" i="5"/>
  <c r="O71" i="5"/>
  <c r="P71" i="5"/>
  <c r="AF51" i="5"/>
  <c r="J24" i="5"/>
  <c r="J25" i="5" s="1"/>
  <c r="P46" i="5"/>
  <c r="P49" i="5" s="1"/>
  <c r="P51" i="5" s="1"/>
  <c r="F18" i="5"/>
  <c r="H50" i="5"/>
  <c r="F47" i="5"/>
  <c r="S24" i="5"/>
  <c r="S25" i="5" s="1"/>
  <c r="H46" i="5"/>
  <c r="V46" i="5"/>
  <c r="V49" i="5" s="1"/>
  <c r="V51" i="5" s="1"/>
  <c r="AF24" i="5"/>
  <c r="Z24" i="5"/>
  <c r="Z25" i="5" s="1"/>
  <c r="M24" i="5"/>
  <c r="M25" i="5" s="1"/>
  <c r="L24" i="5"/>
  <c r="L25" i="5" s="1"/>
  <c r="U51" i="5"/>
  <c r="T24" i="5"/>
  <c r="T25" i="5" s="1"/>
  <c r="M51" i="5"/>
  <c r="AE46" i="5"/>
  <c r="AE49" i="5" s="1"/>
  <c r="AE51" i="5" s="1"/>
  <c r="AA24" i="5"/>
  <c r="AE25" i="5"/>
  <c r="N46" i="5"/>
  <c r="N49" i="5" s="1"/>
  <c r="N51" i="5" s="1"/>
  <c r="Z51" i="5"/>
  <c r="R24" i="5"/>
  <c r="R25" i="5" s="1"/>
  <c r="X24" i="5"/>
  <c r="X25" i="5" s="1"/>
  <c r="W24" i="5"/>
  <c r="W25" i="5" s="1"/>
  <c r="Y51" i="5"/>
  <c r="X51" i="5"/>
  <c r="Q51" i="5"/>
  <c r="T51" i="5"/>
  <c r="S51" i="5"/>
  <c r="W51" i="5"/>
  <c r="L51" i="5"/>
  <c r="K24" i="5"/>
  <c r="AA51" i="5"/>
  <c r="K51" i="5"/>
  <c r="AC46" i="5"/>
  <c r="AC49" i="5" s="1"/>
  <c r="AC51" i="5" s="1"/>
  <c r="AC24" i="5"/>
  <c r="AB24" i="5"/>
  <c r="AB46" i="5"/>
  <c r="AB49" i="5" s="1"/>
  <c r="AB51" i="5" s="1"/>
  <c r="AD24" i="5"/>
  <c r="AD46" i="5"/>
  <c r="AD49" i="5" s="1"/>
  <c r="AD51" i="5" s="1"/>
  <c r="R51" i="5"/>
  <c r="J52" i="5" l="1"/>
  <c r="AM52" i="5"/>
  <c r="AF52" i="5"/>
  <c r="AN52" i="5"/>
  <c r="U25" i="5"/>
  <c r="AL52" i="5"/>
  <c r="AP28" i="5"/>
  <c r="AP29" i="5" s="1"/>
  <c r="AH52" i="5"/>
  <c r="AG52" i="5"/>
  <c r="AO28" i="5"/>
  <c r="AO29" i="5" s="1"/>
  <c r="AH25" i="5"/>
  <c r="H25" i="5"/>
  <c r="H49" i="5"/>
  <c r="H51" i="5" s="1"/>
  <c r="H52" i="5" s="1"/>
  <c r="F46" i="5"/>
  <c r="F24" i="5"/>
  <c r="F25" i="5" s="1"/>
  <c r="W52" i="5"/>
  <c r="V52" i="5"/>
  <c r="AA25" i="5"/>
  <c r="AF25" i="5"/>
  <c r="U52" i="5"/>
  <c r="M52" i="5"/>
  <c r="N52" i="5"/>
  <c r="Z52" i="5"/>
  <c r="O52" i="5"/>
  <c r="AA52" i="5"/>
  <c r="Y52" i="5"/>
  <c r="R52" i="5"/>
  <c r="Q52" i="5"/>
  <c r="L52" i="5"/>
  <c r="AD52" i="5"/>
  <c r="P52" i="5"/>
  <c r="T52" i="5"/>
  <c r="X52" i="5"/>
  <c r="AB52" i="5"/>
  <c r="K25" i="5"/>
  <c r="K52" i="5"/>
  <c r="AC52" i="5"/>
  <c r="AE52" i="5"/>
  <c r="AD25" i="5"/>
  <c r="S52" i="5"/>
  <c r="AB25" i="5"/>
  <c r="AC25" i="5"/>
  <c r="I52" i="5" l="1"/>
  <c r="F52" i="5" s="1"/>
  <c r="H34" i="5" l="1"/>
  <c r="H33" i="5" s="1"/>
  <c r="H56" i="5" l="1"/>
  <c r="H78" i="5" l="1"/>
  <c r="T34" i="5" l="1"/>
  <c r="T33" i="5" s="1"/>
  <c r="T56" i="5" l="1"/>
  <c r="T78" i="5" l="1"/>
  <c r="U34" i="5" l="1"/>
  <c r="U33" i="5" s="1"/>
  <c r="U56" i="5" l="1"/>
  <c r="U78" i="5" l="1"/>
  <c r="V34" i="5" l="1"/>
  <c r="V33" i="5" s="1"/>
  <c r="V56" i="5" l="1"/>
  <c r="V78" i="5" l="1"/>
  <c r="X34" i="5" l="1"/>
  <c r="X33" i="5" s="1"/>
  <c r="X56" i="5" l="1"/>
  <c r="X78" i="5" l="1"/>
  <c r="Y34" i="5" l="1"/>
  <c r="Y33" i="5" s="1"/>
  <c r="Y56" i="5" l="1"/>
  <c r="Y78" i="5" l="1"/>
  <c r="Z34" i="5" l="1"/>
  <c r="Z33" i="5" s="1"/>
  <c r="Z56" i="5" l="1"/>
  <c r="Z78" i="5" l="1"/>
  <c r="AA34" i="5" l="1"/>
  <c r="AA33" i="5" s="1"/>
  <c r="AA56" i="5" l="1"/>
  <c r="AA78" i="5" l="1"/>
  <c r="AB34" i="5" l="1"/>
  <c r="AB33" i="5" s="1"/>
  <c r="AB56" i="5" l="1"/>
  <c r="AB78" i="5" l="1"/>
  <c r="AC34" i="5" l="1"/>
  <c r="AC33" i="5" s="1"/>
  <c r="AC56" i="5" l="1"/>
  <c r="AC78" i="5" l="1"/>
  <c r="AD34" i="5" l="1"/>
  <c r="AD33" i="5" s="1"/>
  <c r="AD56" i="5" l="1"/>
  <c r="AD78" i="5" l="1"/>
  <c r="AE34" i="5" l="1"/>
  <c r="AE33" i="5" s="1"/>
  <c r="AE56" i="5" l="1"/>
  <c r="AE78" i="5" l="1"/>
  <c r="AF34" i="5" l="1"/>
  <c r="AF33" i="5" s="1"/>
  <c r="AF56" i="5" l="1"/>
  <c r="AF78" i="5" l="1"/>
  <c r="AH34" i="5" l="1"/>
  <c r="AH33" i="5" s="1"/>
  <c r="AH56" i="5" l="1"/>
  <c r="AH78" i="5" l="1"/>
  <c r="AI34" i="5" l="1"/>
  <c r="AI33" i="5" s="1"/>
  <c r="AI56" i="5" l="1"/>
  <c r="AI78" i="5" l="1"/>
  <c r="AJ34" i="5" l="1"/>
  <c r="AJ33" i="5" s="1"/>
  <c r="AJ56" i="5" l="1"/>
  <c r="AJ78" i="5" l="1"/>
  <c r="AK34" i="5" l="1"/>
  <c r="AK33" i="5" s="1"/>
  <c r="AK56" i="5" l="1"/>
  <c r="AK78" i="5" l="1"/>
  <c r="AL34" i="5" l="1"/>
  <c r="AL33" i="5" s="1"/>
  <c r="AL56" i="5" l="1"/>
  <c r="AL78" i="5" l="1"/>
  <c r="AM34" i="5" l="1"/>
  <c r="AM33" i="5" s="1"/>
  <c r="AM56" i="5" l="1"/>
  <c r="AM78" i="5" l="1"/>
  <c r="AN34" i="5" l="1"/>
  <c r="AN33" i="5" s="1"/>
  <c r="AN56" i="5" l="1"/>
  <c r="AN78" i="5" l="1"/>
  <c r="AO34" i="5" l="1"/>
  <c r="AO33" i="5" s="1"/>
  <c r="AO56" i="5" l="1"/>
  <c r="AO78" i="5" l="1"/>
  <c r="AP34" i="5" l="1"/>
  <c r="AP33" i="5" s="1"/>
  <c r="AP56" i="5" l="1"/>
  <c r="AP78" i="5" l="1"/>
  <c r="AG33" i="5" l="1"/>
  <c r="AG56" i="5" s="1"/>
  <c r="AG78" i="5" s="1"/>
  <c r="AG34" i="5"/>
  <c r="W33" i="5"/>
  <c r="W56" i="5" s="1"/>
  <c r="W78" i="5" s="1"/>
  <c r="W34" i="5"/>
  <c r="F61" i="2"/>
  <c r="E71" i="2"/>
  <c r="G9" i="5" s="1"/>
  <c r="D27" i="2" l="1"/>
  <c r="E27" i="5" s="1"/>
  <c r="X27" i="5" s="1"/>
  <c r="X28" i="5" s="1"/>
  <c r="F71" i="2"/>
  <c r="E27" i="2" s="1"/>
  <c r="F9" i="5"/>
  <c r="G66" i="5"/>
  <c r="AH27" i="5"/>
  <c r="AH28" i="5" s="1"/>
  <c r="AE27" i="5"/>
  <c r="AE28" i="5" s="1"/>
  <c r="AD27" i="5"/>
  <c r="AD28" i="5" s="1"/>
  <c r="AK27" i="5"/>
  <c r="AK28" i="5" s="1"/>
  <c r="Z27" i="5" l="1"/>
  <c r="Z28" i="5" s="1"/>
  <c r="Z29" i="5" s="1"/>
  <c r="N27" i="5"/>
  <c r="N28" i="5" s="1"/>
  <c r="N29" i="5" s="1"/>
  <c r="W27" i="5"/>
  <c r="W28" i="5" s="1"/>
  <c r="W29" i="5" s="1"/>
  <c r="M27" i="5"/>
  <c r="M28" i="5" s="1"/>
  <c r="Q27" i="5"/>
  <c r="Q28" i="5" s="1"/>
  <c r="Q29" i="5" s="1"/>
  <c r="AC27" i="5"/>
  <c r="AC28" i="5" s="1"/>
  <c r="AC29" i="5" s="1"/>
  <c r="AI27" i="5"/>
  <c r="AI28" i="5" s="1"/>
  <c r="AI29" i="5" s="1"/>
  <c r="R27" i="5"/>
  <c r="R28" i="5" s="1"/>
  <c r="R29" i="5" s="1"/>
  <c r="K27" i="5"/>
  <c r="K28" i="5" s="1"/>
  <c r="K29" i="5" s="1"/>
  <c r="T27" i="5"/>
  <c r="T28" i="5" s="1"/>
  <c r="T29" i="5" s="1"/>
  <c r="J27" i="5"/>
  <c r="J28" i="5" s="1"/>
  <c r="J29" i="5" s="1"/>
  <c r="O27" i="5"/>
  <c r="O28" i="5" s="1"/>
  <c r="O29" i="5" s="1"/>
  <c r="Y27" i="5"/>
  <c r="Y28" i="5" s="1"/>
  <c r="Y29" i="5" s="1"/>
  <c r="S27" i="5"/>
  <c r="S28" i="5" s="1"/>
  <c r="S29" i="5" s="1"/>
  <c r="U27" i="5"/>
  <c r="U28" i="5" s="1"/>
  <c r="U29" i="5" s="1"/>
  <c r="I27" i="5"/>
  <c r="I28" i="5" s="1"/>
  <c r="I29" i="5" s="1"/>
  <c r="AA27" i="5"/>
  <c r="AA28" i="5" s="1"/>
  <c r="AA29" i="5" s="1"/>
  <c r="AB27" i="5"/>
  <c r="AB28" i="5" s="1"/>
  <c r="AB29" i="5" s="1"/>
  <c r="H27" i="5"/>
  <c r="H28" i="5" s="1"/>
  <c r="H29" i="5" s="1"/>
  <c r="AJ27" i="5"/>
  <c r="AJ28" i="5" s="1"/>
  <c r="AJ29" i="5" s="1"/>
  <c r="AF27" i="5"/>
  <c r="AF28" i="5" s="1"/>
  <c r="AF29" i="5" s="1"/>
  <c r="P27" i="5"/>
  <c r="P28" i="5" s="1"/>
  <c r="P29" i="5" s="1"/>
  <c r="AG27" i="5"/>
  <c r="AG28" i="5" s="1"/>
  <c r="AG29" i="5" s="1"/>
  <c r="L27" i="5"/>
  <c r="L28" i="5" s="1"/>
  <c r="L29" i="5" s="1"/>
  <c r="V27" i="5"/>
  <c r="V28" i="5" s="1"/>
  <c r="V29" i="5" s="1"/>
  <c r="AH29" i="5"/>
  <c r="X29" i="5"/>
  <c r="M29" i="5"/>
  <c r="AK29" i="5"/>
  <c r="AD29" i="5"/>
  <c r="G10" i="5"/>
  <c r="G53" i="5"/>
  <c r="G11" i="5"/>
  <c r="AE29" i="5"/>
  <c r="F27" i="5" l="1"/>
  <c r="F28" i="5"/>
  <c r="F29" i="5" s="1"/>
  <c r="F10" i="5"/>
  <c r="G72" i="5"/>
  <c r="G63" i="5"/>
  <c r="G35" i="5"/>
  <c r="F11" i="5"/>
  <c r="G79" i="5" l="1"/>
  <c r="H32" i="5"/>
  <c r="E35" i="5"/>
  <c r="H35" i="5"/>
  <c r="I32" i="5" l="1"/>
  <c r="H79" i="5"/>
  <c r="I33" i="5"/>
  <c r="I35" i="5" s="1"/>
  <c r="K33" i="5"/>
  <c r="K56" i="5" s="1"/>
  <c r="K78" i="5" s="1"/>
  <c r="R33" i="5"/>
  <c r="R56" i="5" s="1"/>
  <c r="R78" i="5" s="1"/>
  <c r="E79" i="5"/>
  <c r="O33" i="5"/>
  <c r="O56" i="5" s="1"/>
  <c r="O78" i="5" s="1"/>
  <c r="L33" i="5"/>
  <c r="L56" i="5" s="1"/>
  <c r="L78" i="5" s="1"/>
  <c r="N33" i="5"/>
  <c r="N56" i="5" s="1"/>
  <c r="N78" i="5" s="1"/>
  <c r="M33" i="5"/>
  <c r="M56" i="5" s="1"/>
  <c r="M78" i="5" s="1"/>
  <c r="P33" i="5"/>
  <c r="P56" i="5" s="1"/>
  <c r="P78" i="5" s="1"/>
  <c r="J33" i="5"/>
  <c r="J56" i="5" s="1"/>
  <c r="J78" i="5" s="1"/>
  <c r="Q33" i="5"/>
  <c r="Q56" i="5" s="1"/>
  <c r="Q78" i="5" s="1"/>
  <c r="S33" i="5"/>
  <c r="S56" i="5" s="1"/>
  <c r="S78" i="5" s="1"/>
  <c r="H55" i="5"/>
  <c r="H36" i="5"/>
  <c r="I79" i="5" l="1"/>
  <c r="J32" i="5"/>
  <c r="J35" i="5"/>
  <c r="H37" i="5"/>
  <c r="H39" i="5"/>
  <c r="H41" i="5" s="1"/>
  <c r="I56" i="5"/>
  <c r="F33" i="5"/>
  <c r="H77" i="5"/>
  <c r="H57" i="5"/>
  <c r="I55" i="5"/>
  <c r="I36" i="5"/>
  <c r="K32" i="5" l="1"/>
  <c r="J79" i="5"/>
  <c r="K35" i="5"/>
  <c r="F56" i="5"/>
  <c r="F78" i="5" s="1"/>
  <c r="I78" i="5"/>
  <c r="H48" i="5"/>
  <c r="I37" i="5"/>
  <c r="I39" i="5"/>
  <c r="I48" i="5" s="1"/>
  <c r="I53" i="5" s="1"/>
  <c r="I57" i="5"/>
  <c r="I77" i="5"/>
  <c r="J55" i="5"/>
  <c r="J36" i="5"/>
  <c r="H53" i="5" l="1"/>
  <c r="J37" i="5"/>
  <c r="J39" i="5"/>
  <c r="J48" i="5" s="1"/>
  <c r="J53" i="5" s="1"/>
  <c r="I66" i="5"/>
  <c r="I59" i="5"/>
  <c r="I34" i="5"/>
  <c r="I63" i="5"/>
  <c r="I72" i="5" s="1"/>
  <c r="L32" i="5"/>
  <c r="L35" i="5"/>
  <c r="K79" i="5"/>
  <c r="J77" i="5"/>
  <c r="J57" i="5"/>
  <c r="K55" i="5"/>
  <c r="K36" i="5"/>
  <c r="I41" i="5"/>
  <c r="L55" i="5" l="1"/>
  <c r="L36" i="5"/>
  <c r="K57" i="5"/>
  <c r="K77" i="5"/>
  <c r="J59" i="5"/>
  <c r="J34" i="5"/>
  <c r="J66" i="5"/>
  <c r="J63" i="5"/>
  <c r="J72" i="5" s="1"/>
  <c r="J41" i="5"/>
  <c r="K37" i="5"/>
  <c r="K39" i="5"/>
  <c r="M32" i="5"/>
  <c r="L79" i="5"/>
  <c r="M35" i="5"/>
  <c r="H66" i="5"/>
  <c r="H59" i="5"/>
  <c r="H63" i="5"/>
  <c r="H72" i="5" l="1"/>
  <c r="M79" i="5"/>
  <c r="N35" i="5"/>
  <c r="N32" i="5"/>
  <c r="M55" i="5"/>
  <c r="M36" i="5"/>
  <c r="K48" i="5"/>
  <c r="K41" i="5"/>
  <c r="L37" i="5"/>
  <c r="L39" i="5"/>
  <c r="L48" i="5" s="1"/>
  <c r="L53" i="5" s="1"/>
  <c r="L57" i="5"/>
  <c r="L77" i="5"/>
  <c r="N55" i="5" l="1"/>
  <c r="N36" i="5"/>
  <c r="L66" i="5"/>
  <c r="L63" i="5"/>
  <c r="L72" i="5" s="1"/>
  <c r="L59" i="5"/>
  <c r="L34" i="5"/>
  <c r="K53" i="5"/>
  <c r="M37" i="5"/>
  <c r="M39" i="5"/>
  <c r="M57" i="5"/>
  <c r="M77" i="5"/>
  <c r="O35" i="5"/>
  <c r="N79" i="5"/>
  <c r="O32" i="5"/>
  <c r="L41" i="5"/>
  <c r="O55" i="5" l="1"/>
  <c r="O36" i="5"/>
  <c r="O79" i="5"/>
  <c r="P35" i="5"/>
  <c r="P32" i="5"/>
  <c r="N39" i="5"/>
  <c r="N48" i="5" s="1"/>
  <c r="N53" i="5" s="1"/>
  <c r="N37" i="5"/>
  <c r="M48" i="5"/>
  <c r="M41" i="5"/>
  <c r="K66" i="5"/>
  <c r="K59" i="5"/>
  <c r="K34" i="5"/>
  <c r="K63" i="5"/>
  <c r="N77" i="5"/>
  <c r="N57" i="5"/>
  <c r="N59" i="5" l="1"/>
  <c r="N66" i="5"/>
  <c r="N34" i="5"/>
  <c r="N63" i="5"/>
  <c r="N72" i="5" s="1"/>
  <c r="N41" i="5"/>
  <c r="Q35" i="5"/>
  <c r="P79" i="5"/>
  <c r="Q32" i="5"/>
  <c r="K72" i="5"/>
  <c r="O37" i="5"/>
  <c r="O39" i="5"/>
  <c r="O41" i="5" s="1"/>
  <c r="M53" i="5"/>
  <c r="P55" i="5"/>
  <c r="P36" i="5"/>
  <c r="O77" i="5"/>
  <c r="O57" i="5"/>
  <c r="Q55" i="5" l="1"/>
  <c r="Q36" i="5"/>
  <c r="R32" i="5"/>
  <c r="R35" i="5"/>
  <c r="Q79" i="5"/>
  <c r="P37" i="5"/>
  <c r="P39" i="5"/>
  <c r="P48" i="5" s="1"/>
  <c r="P53" i="5" s="1"/>
  <c r="P77" i="5"/>
  <c r="P57" i="5"/>
  <c r="M66" i="5"/>
  <c r="M59" i="5"/>
  <c r="M34" i="5"/>
  <c r="M63" i="5"/>
  <c r="O48" i="5"/>
  <c r="P34" i="5" l="1"/>
  <c r="P66" i="5"/>
  <c r="P59" i="5"/>
  <c r="P63" i="5"/>
  <c r="P72" i="5" s="1"/>
  <c r="P41" i="5"/>
  <c r="O53" i="5"/>
  <c r="S35" i="5"/>
  <c r="R79" i="5"/>
  <c r="S32" i="5"/>
  <c r="R55" i="5"/>
  <c r="R36" i="5"/>
  <c r="M72" i="5"/>
  <c r="Q39" i="5"/>
  <c r="Q48" i="5" s="1"/>
  <c r="Q53" i="5" s="1"/>
  <c r="Q37" i="5"/>
  <c r="Q77" i="5"/>
  <c r="Q57" i="5"/>
  <c r="O59" i="5" l="1"/>
  <c r="O63" i="5"/>
  <c r="O66" i="5"/>
  <c r="O34" i="5"/>
  <c r="Q34" i="5"/>
  <c r="Q59" i="5"/>
  <c r="Q63" i="5"/>
  <c r="Q72" i="5" s="1"/>
  <c r="Q66" i="5"/>
  <c r="T35" i="5"/>
  <c r="T32" i="5"/>
  <c r="S79" i="5"/>
  <c r="Q41" i="5"/>
  <c r="R39" i="5"/>
  <c r="R48" i="5" s="1"/>
  <c r="R37" i="5"/>
  <c r="S55" i="5"/>
  <c r="S36" i="5"/>
  <c r="R57" i="5"/>
  <c r="R77" i="5"/>
  <c r="R41" i="5" l="1"/>
  <c r="T79" i="5"/>
  <c r="U35" i="5"/>
  <c r="U32" i="5"/>
  <c r="T55" i="5"/>
  <c r="T36" i="5"/>
  <c r="S37" i="5"/>
  <c r="S39" i="5"/>
  <c r="S48" i="5" s="1"/>
  <c r="S53" i="5" s="1"/>
  <c r="S77" i="5"/>
  <c r="S57" i="5"/>
  <c r="R53" i="5"/>
  <c r="O72" i="5"/>
  <c r="S59" i="5" l="1"/>
  <c r="S34" i="5"/>
  <c r="S63" i="5"/>
  <c r="S72" i="5" s="1"/>
  <c r="S66" i="5"/>
  <c r="T37" i="5"/>
  <c r="T39" i="5"/>
  <c r="T48" i="5" s="1"/>
  <c r="T53" i="5" s="1"/>
  <c r="S41" i="5"/>
  <c r="T57" i="5"/>
  <c r="T77" i="5"/>
  <c r="U55" i="5"/>
  <c r="U36" i="5"/>
  <c r="V32" i="5"/>
  <c r="U79" i="5"/>
  <c r="V35" i="5"/>
  <c r="R66" i="5"/>
  <c r="R59" i="5"/>
  <c r="R34" i="5"/>
  <c r="R63" i="5"/>
  <c r="R72" i="5" s="1"/>
  <c r="U57" i="5" l="1"/>
  <c r="U77" i="5"/>
  <c r="U39" i="5"/>
  <c r="U48" i="5" s="1"/>
  <c r="U53" i="5" s="1"/>
  <c r="U37" i="5"/>
  <c r="T66" i="5"/>
  <c r="T59" i="5"/>
  <c r="T63" i="5"/>
  <c r="T72" i="5" s="1"/>
  <c r="C60" i="5"/>
  <c r="F14" i="2" s="1"/>
  <c r="C61" i="5"/>
  <c r="F15" i="2" s="1"/>
  <c r="T41" i="5"/>
  <c r="W32" i="5"/>
  <c r="V79" i="5"/>
  <c r="W35" i="5"/>
  <c r="V55" i="5"/>
  <c r="V36" i="5"/>
  <c r="U41" i="5" l="1"/>
  <c r="W55" i="5"/>
  <c r="W36" i="5"/>
  <c r="V39" i="5"/>
  <c r="V48" i="5" s="1"/>
  <c r="V53" i="5" s="1"/>
  <c r="V37" i="5"/>
  <c r="V77" i="5"/>
  <c r="V57" i="5"/>
  <c r="U63" i="5"/>
  <c r="U72" i="5" s="1"/>
  <c r="U59" i="5"/>
  <c r="U66" i="5"/>
  <c r="X32" i="5"/>
  <c r="X35" i="5"/>
  <c r="W79" i="5"/>
  <c r="V41" i="5" l="1"/>
  <c r="Y32" i="5"/>
  <c r="Y35" i="5"/>
  <c r="X79" i="5"/>
  <c r="X55" i="5"/>
  <c r="X36" i="5"/>
  <c r="V66" i="5"/>
  <c r="V63" i="5"/>
  <c r="V72" i="5" s="1"/>
  <c r="V59" i="5"/>
  <c r="W39" i="5"/>
  <c r="W48" i="5" s="1"/>
  <c r="W53" i="5" s="1"/>
  <c r="W37" i="5"/>
  <c r="W77" i="5"/>
  <c r="W57" i="5"/>
  <c r="W41" i="5" l="1"/>
  <c r="W63" i="5"/>
  <c r="W72" i="5" s="1"/>
  <c r="W59" i="5"/>
  <c r="W66" i="5"/>
  <c r="X39" i="5"/>
  <c r="X48" i="5" s="1"/>
  <c r="X53" i="5" s="1"/>
  <c r="X37" i="5"/>
  <c r="X77" i="5"/>
  <c r="X57" i="5"/>
  <c r="Y79" i="5"/>
  <c r="Z32" i="5"/>
  <c r="Z35" i="5"/>
  <c r="Y55" i="5"/>
  <c r="Y36" i="5"/>
  <c r="Z55" i="5" l="1"/>
  <c r="Z36" i="5"/>
  <c r="X41" i="5"/>
  <c r="Z79" i="5"/>
  <c r="AA32" i="5"/>
  <c r="AA35" i="5"/>
  <c r="X63" i="5"/>
  <c r="X72" i="5" s="1"/>
  <c r="X66" i="5"/>
  <c r="X59" i="5"/>
  <c r="Y57" i="5"/>
  <c r="Y77" i="5"/>
  <c r="Y37" i="5"/>
  <c r="Y39" i="5"/>
  <c r="Y48" i="5" s="1"/>
  <c r="Y53" i="5" s="1"/>
  <c r="Y41" i="5" l="1"/>
  <c r="AA55" i="5"/>
  <c r="AA36" i="5"/>
  <c r="Y66" i="5"/>
  <c r="Y59" i="5"/>
  <c r="Y63" i="5"/>
  <c r="Y72" i="5" s="1"/>
  <c r="Z37" i="5"/>
  <c r="Z39" i="5"/>
  <c r="Z48" i="5" s="1"/>
  <c r="Z53" i="5" s="1"/>
  <c r="AB32" i="5"/>
  <c r="AA79" i="5"/>
  <c r="AB35" i="5"/>
  <c r="Z77" i="5"/>
  <c r="Z57" i="5"/>
  <c r="AC35" i="5" l="1"/>
  <c r="AB79" i="5"/>
  <c r="AC32" i="5"/>
  <c r="AB55" i="5"/>
  <c r="AB36" i="5"/>
  <c r="Z66" i="5"/>
  <c r="Z59" i="5"/>
  <c r="Z63" i="5"/>
  <c r="Z72" i="5" s="1"/>
  <c r="Z41" i="5"/>
  <c r="AA37" i="5"/>
  <c r="AA39" i="5"/>
  <c r="AA48" i="5" s="1"/>
  <c r="AA53" i="5" s="1"/>
  <c r="AA57" i="5"/>
  <c r="AA77" i="5"/>
  <c r="AA63" i="5" l="1"/>
  <c r="AA59" i="5"/>
  <c r="AA66" i="5"/>
  <c r="AC55" i="5"/>
  <c r="AC36" i="5"/>
  <c r="AA41" i="5"/>
  <c r="AB39" i="5"/>
  <c r="AB48" i="5" s="1"/>
  <c r="AB53" i="5" s="1"/>
  <c r="AB37" i="5"/>
  <c r="AB57" i="5"/>
  <c r="AB77" i="5"/>
  <c r="AD32" i="5"/>
  <c r="AD35" i="5"/>
  <c r="AC79" i="5"/>
  <c r="AD55" i="5" l="1"/>
  <c r="AD36" i="5"/>
  <c r="AB59" i="5"/>
  <c r="AB66" i="5"/>
  <c r="AB63" i="5"/>
  <c r="AB72" i="5" s="1"/>
  <c r="AB41" i="5"/>
  <c r="AC37" i="5"/>
  <c r="AC39" i="5"/>
  <c r="AC48" i="5" s="1"/>
  <c r="AC53" i="5" s="1"/>
  <c r="AC57" i="5"/>
  <c r="AC77" i="5"/>
  <c r="AE35" i="5"/>
  <c r="AE32" i="5"/>
  <c r="AD79" i="5"/>
  <c r="AA72" i="5"/>
  <c r="F64" i="5"/>
  <c r="F12" i="2" s="1"/>
  <c r="AC41" i="5" l="1"/>
  <c r="AF32" i="5"/>
  <c r="AF35" i="5"/>
  <c r="AE79" i="5"/>
  <c r="AC63" i="5"/>
  <c r="AC72" i="5" s="1"/>
  <c r="AC59" i="5"/>
  <c r="AC66" i="5"/>
  <c r="AD37" i="5"/>
  <c r="AD39" i="5"/>
  <c r="AD48" i="5" s="1"/>
  <c r="AD53" i="5" s="1"/>
  <c r="AE55" i="5"/>
  <c r="AE36" i="5"/>
  <c r="AD57" i="5"/>
  <c r="AD77" i="5"/>
  <c r="AE37" i="5" l="1"/>
  <c r="AE39" i="5"/>
  <c r="AE48" i="5" s="1"/>
  <c r="AE53" i="5" s="1"/>
  <c r="AE57" i="5"/>
  <c r="AE77" i="5"/>
  <c r="AD41" i="5"/>
  <c r="AG32" i="5"/>
  <c r="AF79" i="5"/>
  <c r="AG35" i="5"/>
  <c r="AD66" i="5"/>
  <c r="AD59" i="5"/>
  <c r="AD63" i="5"/>
  <c r="AD72" i="5" s="1"/>
  <c r="AF55" i="5"/>
  <c r="AF36" i="5"/>
  <c r="AE41" i="5" l="1"/>
  <c r="AG79" i="5"/>
  <c r="AH32" i="5"/>
  <c r="AH35" i="5"/>
  <c r="AG55" i="5"/>
  <c r="AG36" i="5"/>
  <c r="AF37" i="5"/>
  <c r="AF39" i="5"/>
  <c r="AF48" i="5" s="1"/>
  <c r="AF53" i="5" s="1"/>
  <c r="AE59" i="5"/>
  <c r="AE63" i="5"/>
  <c r="AE72" i="5" s="1"/>
  <c r="AE66" i="5"/>
  <c r="AF57" i="5"/>
  <c r="AF77" i="5"/>
  <c r="AG39" i="5" l="1"/>
  <c r="AG48" i="5" s="1"/>
  <c r="AG53" i="5" s="1"/>
  <c r="AG37" i="5"/>
  <c r="AF66" i="5"/>
  <c r="AF63" i="5"/>
  <c r="AF72" i="5" s="1"/>
  <c r="AF59" i="5"/>
  <c r="AF41" i="5"/>
  <c r="F16" i="2" s="1"/>
  <c r="AG77" i="5"/>
  <c r="AG57" i="5"/>
  <c r="AH55" i="5"/>
  <c r="AH36" i="5"/>
  <c r="AH79" i="5"/>
  <c r="AI32" i="5"/>
  <c r="AI35" i="5"/>
  <c r="AG41" i="5" l="1"/>
  <c r="AH39" i="5"/>
  <c r="AH48" i="5" s="1"/>
  <c r="AH53" i="5" s="1"/>
  <c r="AH37" i="5"/>
  <c r="AH57" i="5"/>
  <c r="AH77" i="5"/>
  <c r="AJ32" i="5"/>
  <c r="AJ35" i="5"/>
  <c r="AI79" i="5"/>
  <c r="AI55" i="5"/>
  <c r="AI36" i="5"/>
  <c r="AG63" i="5"/>
  <c r="AG72" i="5" s="1"/>
  <c r="AG59" i="5"/>
  <c r="AG66" i="5"/>
  <c r="AH41" i="5" l="1"/>
  <c r="AI39" i="5"/>
  <c r="AI48" i="5" s="1"/>
  <c r="AI53" i="5" s="1"/>
  <c r="AI37" i="5"/>
  <c r="AI57" i="5"/>
  <c r="AI77" i="5"/>
  <c r="AJ55" i="5"/>
  <c r="AJ36" i="5"/>
  <c r="AJ79" i="5"/>
  <c r="AK32" i="5"/>
  <c r="AK35" i="5"/>
  <c r="AH63" i="5"/>
  <c r="AH72" i="5" s="1"/>
  <c r="AH66" i="5"/>
  <c r="AH59" i="5"/>
  <c r="AK79" i="5" l="1"/>
  <c r="AL32" i="5"/>
  <c r="AL35" i="5"/>
  <c r="AK55" i="5"/>
  <c r="AK36" i="5"/>
  <c r="AJ37" i="5"/>
  <c r="AJ39" i="5"/>
  <c r="AJ48" i="5" s="1"/>
  <c r="AJ53" i="5" s="1"/>
  <c r="AJ77" i="5"/>
  <c r="AJ57" i="5"/>
  <c r="AI66" i="5"/>
  <c r="AI63" i="5"/>
  <c r="AI72" i="5" s="1"/>
  <c r="AI59" i="5"/>
  <c r="AI41" i="5"/>
  <c r="AL79" i="5" l="1"/>
  <c r="AM35" i="5"/>
  <c r="AM32" i="5"/>
  <c r="AJ66" i="5"/>
  <c r="AJ63" i="5"/>
  <c r="AJ72" i="5" s="1"/>
  <c r="AJ59" i="5"/>
  <c r="AJ41" i="5"/>
  <c r="AK37" i="5"/>
  <c r="AK39" i="5"/>
  <c r="AK48" i="5" s="1"/>
  <c r="AK53" i="5" s="1"/>
  <c r="AL36" i="5"/>
  <c r="AL55" i="5"/>
  <c r="AK77" i="5"/>
  <c r="AK57" i="5"/>
  <c r="AK63" i="5" l="1"/>
  <c r="AK72" i="5" s="1"/>
  <c r="AK66" i="5"/>
  <c r="AK59" i="5"/>
  <c r="AL37" i="5"/>
  <c r="AL39" i="5"/>
  <c r="AL48" i="5" s="1"/>
  <c r="AL53" i="5" s="1"/>
  <c r="AK41" i="5"/>
  <c r="AN32" i="5"/>
  <c r="AN35" i="5"/>
  <c r="AM79" i="5"/>
  <c r="AL77" i="5"/>
  <c r="AL57" i="5"/>
  <c r="AM55" i="5"/>
  <c r="AM36" i="5"/>
  <c r="AO35" i="5" l="1"/>
  <c r="AN79" i="5"/>
  <c r="AO32" i="5"/>
  <c r="AL63" i="5"/>
  <c r="AL72" i="5" s="1"/>
  <c r="AL59" i="5"/>
  <c r="AL66" i="5"/>
  <c r="AL41" i="5"/>
  <c r="AN55" i="5"/>
  <c r="AN36" i="5"/>
  <c r="AM39" i="5"/>
  <c r="AM48" i="5" s="1"/>
  <c r="AM53" i="5" s="1"/>
  <c r="AM37" i="5"/>
  <c r="AM77" i="5"/>
  <c r="AM57" i="5"/>
  <c r="AM41" i="5" l="1"/>
  <c r="AM63" i="5"/>
  <c r="AM72" i="5" s="1"/>
  <c r="AM66" i="5"/>
  <c r="AM59" i="5"/>
  <c r="AN39" i="5"/>
  <c r="AN48" i="5" s="1"/>
  <c r="AN53" i="5" s="1"/>
  <c r="AN37" i="5"/>
  <c r="AN57" i="5"/>
  <c r="AN77" i="5"/>
  <c r="AO55" i="5"/>
  <c r="AO36" i="5"/>
  <c r="AP35" i="5"/>
  <c r="AP79" i="5" s="1"/>
  <c r="AP32" i="5"/>
  <c r="AO79" i="5"/>
  <c r="AN41" i="5" l="1"/>
  <c r="AO77" i="5"/>
  <c r="AO57" i="5"/>
  <c r="AO37" i="5"/>
  <c r="AO39" i="5"/>
  <c r="AO48" i="5" s="1"/>
  <c r="AO53" i="5" s="1"/>
  <c r="AN59" i="5"/>
  <c r="AN63" i="5"/>
  <c r="AN72" i="5" s="1"/>
  <c r="AN66" i="5"/>
  <c r="AP36" i="5"/>
  <c r="AP55" i="5"/>
  <c r="F32" i="5"/>
  <c r="AP57" i="5" l="1"/>
  <c r="F57" i="5" s="1"/>
  <c r="AP77" i="5"/>
  <c r="F55" i="5"/>
  <c r="F77" i="5" s="1"/>
  <c r="AP39" i="5"/>
  <c r="AP41" i="5" s="1"/>
  <c r="AP37" i="5"/>
  <c r="F36" i="5"/>
  <c r="F37" i="5" s="1"/>
  <c r="AO41" i="5"/>
  <c r="AO66" i="5"/>
  <c r="AO63" i="5"/>
  <c r="AO72" i="5" s="1"/>
  <c r="AO59" i="5"/>
  <c r="F41" i="5" l="1"/>
  <c r="AP48" i="5"/>
  <c r="F39" i="5"/>
  <c r="AP53" i="5" l="1"/>
  <c r="F48" i="5"/>
  <c r="AP63" i="5" l="1"/>
  <c r="AP59" i="5"/>
  <c r="AP66" i="5"/>
  <c r="F53" i="5"/>
  <c r="AP72" i="5" l="1"/>
  <c r="F72" i="5" s="1"/>
  <c r="F63" i="5"/>
  <c r="F66" i="5"/>
  <c r="F67" i="5"/>
  <c r="F13" i="2" l="1"/>
  <c r="F84" i="5"/>
  <c r="S84" i="5" l="1"/>
  <c r="S85" i="5" s="1"/>
  <c r="H84" i="5"/>
  <c r="H85" i="5" s="1"/>
  <c r="O84" i="5"/>
  <c r="O85" i="5" s="1"/>
  <c r="X84" i="5"/>
  <c r="X85" i="5" s="1"/>
  <c r="U84" i="5"/>
  <c r="U85" i="5" s="1"/>
  <c r="AK84" i="5"/>
  <c r="AK85" i="5" s="1"/>
  <c r="K84" i="5"/>
  <c r="K85" i="5" s="1"/>
  <c r="Z84" i="5"/>
  <c r="Z85" i="5" s="1"/>
  <c r="G84" i="5"/>
  <c r="AD84" i="5"/>
  <c r="AD85" i="5" s="1"/>
  <c r="AG84" i="5"/>
  <c r="AG85" i="5" s="1"/>
  <c r="R84" i="5"/>
  <c r="R85" i="5" s="1"/>
  <c r="Y84" i="5"/>
  <c r="Y85" i="5" s="1"/>
  <c r="W84" i="5"/>
  <c r="W85" i="5" s="1"/>
  <c r="N84" i="5"/>
  <c r="N85" i="5" s="1"/>
  <c r="AP84" i="5"/>
  <c r="AP85" i="5" s="1"/>
  <c r="Q84" i="5"/>
  <c r="Q85" i="5" s="1"/>
  <c r="I84" i="5"/>
  <c r="I85" i="5" s="1"/>
  <c r="AM84" i="5"/>
  <c r="AM85" i="5" s="1"/>
  <c r="AO84" i="5"/>
  <c r="AO85" i="5" s="1"/>
  <c r="AB84" i="5"/>
  <c r="AB85" i="5" s="1"/>
  <c r="M84" i="5"/>
  <c r="M85" i="5" s="1"/>
  <c r="V84" i="5"/>
  <c r="V85" i="5" s="1"/>
  <c r="T84" i="5"/>
  <c r="T85" i="5" s="1"/>
  <c r="AL84" i="5"/>
  <c r="AL85" i="5" s="1"/>
  <c r="J84" i="5"/>
  <c r="J85" i="5" s="1"/>
  <c r="AE84" i="5"/>
  <c r="AE85" i="5" s="1"/>
  <c r="AJ84" i="5"/>
  <c r="AJ85" i="5" s="1"/>
  <c r="AH84" i="5"/>
  <c r="AH85" i="5" s="1"/>
  <c r="AA84" i="5"/>
  <c r="AA85" i="5" s="1"/>
  <c r="AF84" i="5"/>
  <c r="AF85" i="5" s="1"/>
  <c r="AN84" i="5"/>
  <c r="AN85" i="5" s="1"/>
  <c r="AC84" i="5"/>
  <c r="AC85" i="5" s="1"/>
  <c r="L84" i="5"/>
  <c r="L85" i="5" s="1"/>
  <c r="AI84" i="5"/>
  <c r="AI85" i="5" s="1"/>
  <c r="P84" i="5"/>
  <c r="P85" i="5" s="1"/>
  <c r="F85" i="5" l="1"/>
</calcChain>
</file>

<file path=xl/sharedStrings.xml><?xml version="1.0" encoding="utf-8"?>
<sst xmlns="http://schemas.openxmlformats.org/spreadsheetml/2006/main" count="195" uniqueCount="153">
  <si>
    <t>MWh</t>
  </si>
  <si>
    <t>EBIT</t>
  </si>
  <si>
    <t>Financing CF</t>
  </si>
  <si>
    <t>Working Capital</t>
  </si>
  <si>
    <t>Risk free rate</t>
  </si>
  <si>
    <t>Other risk premia</t>
  </si>
  <si>
    <t>Risk free rate adjusted for additional risk</t>
  </si>
  <si>
    <t>Market risk premium</t>
  </si>
  <si>
    <t>Equity weighting (market value)</t>
  </si>
  <si>
    <t>Debt weighting</t>
  </si>
  <si>
    <t>Beta unlevered</t>
  </si>
  <si>
    <t>Beta relevered</t>
  </si>
  <si>
    <t>Cost of Capital</t>
  </si>
  <si>
    <t>Days Payables Outstanding</t>
  </si>
  <si>
    <t>Days Sales Outstanding</t>
  </si>
  <si>
    <t>P&amp;L</t>
  </si>
  <si>
    <t>EBT</t>
  </si>
  <si>
    <t>n.a.</t>
  </si>
  <si>
    <t>DSCR</t>
  </si>
  <si>
    <t>DSCR min.</t>
  </si>
  <si>
    <t>DSCR average</t>
  </si>
  <si>
    <t xml:space="preserve">Cashflow </t>
  </si>
  <si>
    <t>starting</t>
  </si>
  <si>
    <t>Operating Period</t>
  </si>
  <si>
    <t>Investment</t>
  </si>
  <si>
    <t>Discount factor</t>
  </si>
  <si>
    <t>Index</t>
  </si>
  <si>
    <t>Discount rate = After Tax cost of Equity</t>
  </si>
  <si>
    <t>kW</t>
  </si>
  <si>
    <t>kWh/kWp</t>
  </si>
  <si>
    <t>kWh</t>
  </si>
  <si>
    <t>per MW</t>
  </si>
  <si>
    <t>Escalation</t>
  </si>
  <si>
    <t>Tax rate</t>
  </si>
  <si>
    <t>DSO</t>
  </si>
  <si>
    <t>DPO</t>
  </si>
  <si>
    <t>Sales Outstanding</t>
  </si>
  <si>
    <t>Payables Outstanding</t>
  </si>
  <si>
    <t>Cashflow Available to Equity (CFATE)</t>
  </si>
  <si>
    <t>Data for Charts</t>
  </si>
  <si>
    <t>Operating Cash Flow</t>
  </si>
  <si>
    <t xml:space="preserve"> Interest Payment</t>
  </si>
  <si>
    <t xml:space="preserve"> Repayment Dept</t>
  </si>
  <si>
    <t>Sum</t>
  </si>
  <si>
    <t>Charts</t>
  </si>
  <si>
    <t>CFATE - Equity financed</t>
  </si>
  <si>
    <t>IRR flow to equity (CFATE) - Dept financed</t>
  </si>
  <si>
    <t>Rent NPV</t>
  </si>
  <si>
    <t>m²</t>
  </si>
  <si>
    <t>kWh/m²/y</t>
  </si>
  <si>
    <t>Final Overview – Charts</t>
  </si>
  <si>
    <t>Basis</t>
  </si>
  <si>
    <t>Possible Repayment</t>
  </si>
  <si>
    <t>After tax cost of equity (ROE) - not used in calculation</t>
  </si>
  <si>
    <t>Repayment Duration (Years)</t>
  </si>
  <si>
    <t xml:space="preserve">DSCR Target </t>
  </si>
  <si>
    <t>WACC - not used in calculation</t>
  </si>
  <si>
    <t>NPV Flow to equity</t>
  </si>
  <si>
    <t>ReneSola</t>
  </si>
  <si>
    <t>Project IRR CFATE - Equity financed</t>
  </si>
  <si>
    <t>PLN</t>
  </si>
  <si>
    <t>PLN. '000</t>
  </si>
  <si>
    <t>Nazwa Wnioskodawcy:</t>
  </si>
  <si>
    <t>Miejsce realizacji inwestycji</t>
  </si>
  <si>
    <t>Źródlo OZE:</t>
  </si>
  <si>
    <t>Opis techniczny instalacji:</t>
  </si>
  <si>
    <t>miejscowość, powiat</t>
  </si>
  <si>
    <t>promieniowanie słoneczne</t>
  </si>
  <si>
    <t>Waluta</t>
  </si>
  <si>
    <t>Dane wejściowe do analizy:</t>
  </si>
  <si>
    <t>Stawka podatku dochodowego (w %)</t>
  </si>
  <si>
    <t>Okres finansowania (w latach) - max. 15 lat</t>
  </si>
  <si>
    <t>w całości</t>
  </si>
  <si>
    <t>na MW</t>
  </si>
  <si>
    <t>Wydatki podlegające amortyzacji</t>
  </si>
  <si>
    <t>Oprocentowanie pożyczki</t>
  </si>
  <si>
    <t>Okres spłaty (w latach)</t>
  </si>
  <si>
    <t>Okres karencji (w latach)</t>
  </si>
  <si>
    <t>Equal_Principal</t>
  </si>
  <si>
    <t>Harmonogram spłaty (rodzaj rat miesięcznych):</t>
  </si>
  <si>
    <t xml:space="preserve">Moc znamionowa </t>
  </si>
  <si>
    <t xml:space="preserve">Obszar </t>
  </si>
  <si>
    <t xml:space="preserve">Napromieniowanie </t>
  </si>
  <si>
    <t xml:space="preserve">Wydajność </t>
  </si>
  <si>
    <t>Dane inwestycji OZE:</t>
  </si>
  <si>
    <t xml:space="preserve">Produkcja na kWp rocznie </t>
  </si>
  <si>
    <t xml:space="preserve">Produkcja rocznie </t>
  </si>
  <si>
    <t xml:space="preserve">Podwyżka ceny dzięki Power Trading </t>
  </si>
  <si>
    <t xml:space="preserve">Cena sprzedaży energii elektrycznej </t>
  </si>
  <si>
    <t xml:space="preserve">Dochód na rok </t>
  </si>
  <si>
    <t>Koszt długu po opodatkowaniu</t>
  </si>
  <si>
    <t xml:space="preserve">Koszty operacyjne (rocznie) </t>
  </si>
  <si>
    <t xml:space="preserve">- Aministracja, ubezpieczenie, podatek </t>
  </si>
  <si>
    <t>Koszty obsługi instalacji oraz pozostałe</t>
  </si>
  <si>
    <t xml:space="preserve">- Bieżące, monitoring, zarządzanie </t>
  </si>
  <si>
    <t>Dierżawa i inne opłaty na rzecz właściela gruntu</t>
  </si>
  <si>
    <t>Koszty jednorazowe inwestycji:</t>
  </si>
  <si>
    <t>Zakup nieruchomości</t>
  </si>
  <si>
    <t>Prawa do projektu oraz koszty dokumentacyjne</t>
  </si>
  <si>
    <t>Koszty elementów instalacji oraz wyposażenie</t>
  </si>
  <si>
    <t>razem</t>
  </si>
  <si>
    <t>przyrost na rok</t>
  </si>
  <si>
    <t>przyrost</t>
  </si>
  <si>
    <t xml:space="preserve">Połączenie sieciowe </t>
  </si>
  <si>
    <t xml:space="preserve">Koszt przyłączenia infrastruktury </t>
  </si>
  <si>
    <t>Suma inwestycji</t>
  </si>
  <si>
    <t>zawierają postawienie</t>
  </si>
  <si>
    <t>Rachunek Zysków i Strat / Cashflow</t>
  </si>
  <si>
    <t>Firma</t>
  </si>
  <si>
    <t>IRR z uwzględnieniem finansowania długiem</t>
  </si>
  <si>
    <t>IRR projektu</t>
  </si>
  <si>
    <t>degradacja</t>
  </si>
  <si>
    <t>Przychody</t>
  </si>
  <si>
    <t>Wydajność Produkcji Energii</t>
  </si>
  <si>
    <t>Przychody z producji OZE</t>
  </si>
  <si>
    <t>Koszty operacyjne</t>
  </si>
  <si>
    <t>Finansowanie długiem + NSE FEE + Arrang Fee</t>
  </si>
  <si>
    <t>EBITDA - Zysk operacyjny</t>
  </si>
  <si>
    <t>EBITDA marża</t>
  </si>
  <si>
    <t>- Amortyzacja</t>
  </si>
  <si>
    <t>EBIT Marża</t>
  </si>
  <si>
    <t>Obsługa zadłużenia</t>
  </si>
  <si>
    <t>- odsetki</t>
  </si>
  <si>
    <t>- dług</t>
  </si>
  <si>
    <t>Saldo zadłużenia</t>
  </si>
  <si>
    <t>EBT Marża</t>
  </si>
  <si>
    <t>- Podatek</t>
  </si>
  <si>
    <t>Dochód netto (Zysk/Strata)</t>
  </si>
  <si>
    <t>+ Przychody</t>
  </si>
  <si>
    <t>- Koszty operacyjne</t>
  </si>
  <si>
    <t>+/- Zmiana kapitału pracującego</t>
  </si>
  <si>
    <t>Operacyjny Cashflow = Przepływy pieniężne do obsługi zadłużenia (CFADS)</t>
  </si>
  <si>
    <t>- odsetki od zadłużenia</t>
  </si>
  <si>
    <t>- spłata zadłużenia</t>
  </si>
  <si>
    <t>gr/kWh</t>
  </si>
  <si>
    <t>Udział pożyczki w finansowaniu inwestycji</t>
  </si>
  <si>
    <t>Wkład wnioskodawcy</t>
  </si>
  <si>
    <t>Kowta pożyczki</t>
  </si>
  <si>
    <t>Wartość inwestycji</t>
  </si>
  <si>
    <t>Cena sprzedaży energii elektrycznej</t>
  </si>
  <si>
    <t>Lata karencji</t>
  </si>
  <si>
    <t>Okres spłaty</t>
  </si>
  <si>
    <t>Oproc.pożyczki</t>
  </si>
  <si>
    <t>Wskaźnik pokrycia obsługi długu (DSCR) min.</t>
  </si>
  <si>
    <t>DSCR średni</t>
  </si>
  <si>
    <t xml:space="preserve">- Podatki </t>
  </si>
  <si>
    <t>Cashflow dostępny dla właścicieli (CFATE)</t>
  </si>
  <si>
    <t>Średnioważony okres amortyzacji (w latach)</t>
  </si>
  <si>
    <t>Rentowność inwestycji:</t>
  </si>
  <si>
    <t>wsk.zmiany</t>
  </si>
  <si>
    <t>koszty pośrednie/uboczne podłączenia</t>
  </si>
  <si>
    <t>niepotrzebne</t>
  </si>
  <si>
    <t>Załącznik nr 1 do Biznes Planu - Pożyczka na OZE dla MŚP - FEPK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</si>
</sst>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_-;\-* #,##0.00_-;_-* &quot;-&quot;??_-;_-@_-"/>
    <numFmt numFmtId="165" formatCode="_-* #,##0.00\ _€_-;\-* #,##0.00\ _€_-;_-* &quot;-&quot;??\ _€_-;_-@_-"/>
    <numFmt numFmtId="166" formatCode="_-&quot;€&quot;\ * #,##0.00_-;\-&quot;€&quot;\ * #,##0.00_-;_-&quot;€&quot;\ * &quot;-&quot;??_-;_-@_-"/>
    <numFmt numFmtId="167" formatCode="#,##0.0"/>
    <numFmt numFmtId="168" formatCode="_-* #,##0_-;\-* #,##0_-;_-* &quot;-&quot;??_-;_-@_-"/>
    <numFmt numFmtId="169" formatCode="0.0%"/>
    <numFmt numFmtId="170" formatCode="#,##0;\(#,##0\);\-"/>
    <numFmt numFmtId="171" formatCode="_(* #,##0.0_);_(* \(#,##0.0\);_(* &quot;-&quot;?_);@_)"/>
    <numFmt numFmtId="172" formatCode="_(* #,##0_);_(* \(#,##0\);_(* &quot;-&quot;?_);@_)"/>
    <numFmt numFmtId="173" formatCode="#,##0.00;\(#,##0.00\);\-"/>
    <numFmt numFmtId="174" formatCode="#,##0_);\(#,##0\);&quot;-  &quot;;&quot;  &quot;@"/>
    <numFmt numFmtId="175" formatCode="#,##0;&quot;(&quot;#,##0&quot;)&quot;;&quot;-&quot;"/>
    <numFmt numFmtId="176" formatCode="#,##0&quot;   dana&quot;"/>
    <numFmt numFmtId="177" formatCode="[$-407]d\ mmm\ yy;@"/>
    <numFmt numFmtId="178" formatCode="_([$€]* #,##0.00_);_([$€]* \(#,##0.00\);_([$€]* &quot;-&quot;??_);_(@_)"/>
    <numFmt numFmtId="179" formatCode="#,##0&quot;   godina&quot;"/>
    <numFmt numFmtId="180" formatCode="#,##0.0000_);\(#,##0.0000\)"/>
    <numFmt numFmtId="181" formatCode="#,##0.0_);\(#,##0.0\)"/>
    <numFmt numFmtId="182" formatCode="0%;\-0%;&quot;-&quot;"/>
    <numFmt numFmtId="183" formatCode="mm\/\ dd\/\ yyyy"/>
    <numFmt numFmtId="184" formatCode="#,##0,"/>
    <numFmt numFmtId="185" formatCode="#,##0_);\(#,##0\)"/>
    <numFmt numFmtId="186" formatCode="#,##0.000"/>
    <numFmt numFmtId="187" formatCode="0.000"/>
    <numFmt numFmtId="188" formatCode="_(* #,##0.00_);_(* \(#,##0.00\);_(* &quot;-&quot;?_);@_)"/>
    <numFmt numFmtId="189" formatCode="_-* #,##0\ _€_-;\-* #,##0\ _€_-;_-* &quot;-&quot;??\ _€_-;_-@_-"/>
    <numFmt numFmtId="190" formatCode="0&quot;%&quot;"/>
    <numFmt numFmtId="191" formatCode="0.0&quot;%&quot;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Frutige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indexed="63"/>
      <name val="PwC_Logo"/>
      <charset val="2"/>
    </font>
    <font>
      <sz val="12"/>
      <name val="Arial MT"/>
    </font>
    <font>
      <b/>
      <sz val="10"/>
      <color indexed="63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2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2"/>
      <color indexed="23"/>
      <name val="Arial"/>
      <family val="2"/>
    </font>
    <font>
      <sz val="12"/>
      <color indexed="63"/>
      <name val="Arial"/>
      <family val="2"/>
    </font>
    <font>
      <sz val="9"/>
      <name val="NewsGoth Lt BT"/>
      <family val="2"/>
    </font>
    <font>
      <b/>
      <sz val="8"/>
      <color indexed="24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0"/>
      <name val="Times New Roman"/>
      <family val="1"/>
    </font>
    <font>
      <sz val="10"/>
      <color indexed="17"/>
      <name val="Arial"/>
      <family val="2"/>
    </font>
    <font>
      <b/>
      <i/>
      <sz val="10"/>
      <name val="Times New Roman"/>
      <family val="1"/>
    </font>
    <font>
      <sz val="10"/>
      <name val="NewsGoth Lt BT"/>
      <family val="2"/>
    </font>
    <font>
      <b/>
      <sz val="9"/>
      <name val="NewsGoth Lt BT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2"/>
      <color theme="1"/>
      <name val="Arial"/>
      <family val="2"/>
    </font>
    <font>
      <sz val="10"/>
      <name val="Arial Narrow"/>
      <family val="2"/>
    </font>
    <font>
      <sz val="10"/>
      <color indexed="5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4"/>
      <color indexed="63"/>
      <name val="Arial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lightDown">
        <fgColor indexed="10"/>
      </patternFill>
    </fill>
    <fill>
      <patternFill patternType="solid">
        <fgColor rgb="FFF9B200"/>
        <bgColor indexed="64"/>
      </patternFill>
    </fill>
    <fill>
      <patternFill patternType="solid">
        <fgColor rgb="FFFFE9B3"/>
        <bgColor indexed="64"/>
      </patternFill>
    </fill>
    <fill>
      <patternFill patternType="solid">
        <fgColor indexed="29"/>
      </patternFill>
    </fill>
    <fill>
      <patternFill patternType="solid">
        <fgColor indexed="13"/>
      </patternFill>
    </fill>
    <fill>
      <patternFill patternType="solid">
        <fgColor indexed="25"/>
      </patternFill>
    </fill>
    <fill>
      <patternFill patternType="solid">
        <fgColor indexed="63"/>
      </patternFill>
    </fill>
    <fill>
      <patternFill patternType="solid">
        <fgColor indexed="10"/>
      </patternFill>
    </fill>
    <fill>
      <patternFill patternType="solid">
        <fgColor indexed="61"/>
      </patternFill>
    </fill>
    <fill>
      <patternFill patternType="solid">
        <fgColor indexed="28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EB3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dashed">
        <color indexed="64"/>
      </top>
      <bottom/>
      <diagonal/>
    </border>
    <border>
      <left style="double">
        <color rgb="FFF9B200"/>
      </left>
      <right/>
      <top style="double">
        <color rgb="FFF9B200"/>
      </top>
      <bottom/>
      <diagonal/>
    </border>
    <border>
      <left/>
      <right/>
      <top style="double">
        <color rgb="FFF9B200"/>
      </top>
      <bottom/>
      <diagonal/>
    </border>
    <border>
      <left/>
      <right style="double">
        <color rgb="FFF9B200"/>
      </right>
      <top style="double">
        <color rgb="FFF9B200"/>
      </top>
      <bottom/>
      <diagonal/>
    </border>
    <border>
      <left style="double">
        <color rgb="FFF9B200"/>
      </left>
      <right/>
      <top/>
      <bottom style="double">
        <color rgb="FFF9B200"/>
      </bottom>
      <diagonal/>
    </border>
    <border>
      <left style="double">
        <color rgb="FFF9B200"/>
      </left>
      <right/>
      <top/>
      <bottom/>
      <diagonal/>
    </border>
    <border>
      <left/>
      <right style="double">
        <color rgb="FFF9B200"/>
      </right>
      <top/>
      <bottom style="double">
        <color rgb="FFF9B200"/>
      </bottom>
      <diagonal/>
    </border>
    <border>
      <left/>
      <right style="double">
        <color rgb="FFF9B200"/>
      </right>
      <top/>
      <bottom/>
      <diagonal/>
    </border>
    <border>
      <left/>
      <right/>
      <top/>
      <bottom style="double">
        <color rgb="FFF9B200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2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FEB300"/>
      </left>
      <right/>
      <top style="double">
        <color rgb="FFFEB300"/>
      </top>
      <bottom/>
      <diagonal/>
    </border>
    <border>
      <left/>
      <right/>
      <top style="double">
        <color rgb="FFFEB300"/>
      </top>
      <bottom/>
      <diagonal/>
    </border>
    <border>
      <left style="double">
        <color rgb="FFFEB300"/>
      </left>
      <right/>
      <top/>
      <bottom/>
      <diagonal/>
    </border>
    <border>
      <left style="double">
        <color rgb="FFFEB300"/>
      </left>
      <right/>
      <top/>
      <bottom style="double">
        <color rgb="FFFEB300"/>
      </bottom>
      <diagonal/>
    </border>
    <border>
      <left/>
      <right/>
      <top/>
      <bottom style="double">
        <color rgb="FFFEB3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auto="1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double">
        <color rgb="FFFFC000"/>
      </right>
      <top/>
      <bottom style="double">
        <color rgb="FFFEB300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55">
    <xf numFmtId="0" fontId="0" fillId="0" borderId="0"/>
    <xf numFmtId="170" fontId="3" fillId="2" borderId="1"/>
    <xf numFmtId="171" fontId="4" fillId="0" borderId="0" applyAlignment="0" applyProtection="0"/>
    <xf numFmtId="0" fontId="7" fillId="0" borderId="7" applyNumberFormat="0" applyFill="0" applyAlignment="0" applyProtection="0"/>
    <xf numFmtId="164" fontId="5" fillId="0" borderId="0" applyFont="0" applyFill="0" applyBorder="0" applyAlignment="0" applyProtection="0"/>
    <xf numFmtId="0" fontId="1" fillId="0" borderId="0">
      <alignment vertical="top"/>
    </xf>
    <xf numFmtId="0" fontId="3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9" fillId="5" borderId="0"/>
    <xf numFmtId="0" fontId="10" fillId="0" borderId="0"/>
    <xf numFmtId="170" fontId="2" fillId="0" borderId="1"/>
    <xf numFmtId="170" fontId="2" fillId="0" borderId="10"/>
    <xf numFmtId="0" fontId="3" fillId="6" borderId="12"/>
    <xf numFmtId="1" fontId="11" fillId="5" borderId="0"/>
    <xf numFmtId="17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170" fontId="1" fillId="0" borderId="0"/>
    <xf numFmtId="174" fontId="1" fillId="0" borderId="0">
      <alignment vertical="top"/>
    </xf>
    <xf numFmtId="174" fontId="1" fillId="0" borderId="0">
      <alignment vertical="top"/>
    </xf>
    <xf numFmtId="174" fontId="1" fillId="0" borderId="0">
      <alignment vertical="top"/>
    </xf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4" fontId="28" fillId="0" borderId="25" applyNumberFormat="0" applyFill="0" applyAlignment="0" applyProtection="0"/>
    <xf numFmtId="4" fontId="28" fillId="0" borderId="0" applyNumberFormat="0" applyAlignment="0" applyProtection="0"/>
    <xf numFmtId="175" fontId="1" fillId="0" borderId="0" applyFont="0" applyFill="0" applyBorder="0" applyAlignment="0" applyProtection="0"/>
    <xf numFmtId="49" fontId="29" fillId="0" borderId="0" applyFont="0" applyFill="0" applyBorder="0" applyAlignment="0" applyProtection="0">
      <alignment horizontal="left"/>
    </xf>
    <xf numFmtId="169" fontId="30" fillId="0" borderId="0" applyFill="0" applyBorder="0" applyAlignment="0" applyProtection="0"/>
    <xf numFmtId="49" fontId="30" fillId="0" borderId="0" applyNumberFormat="0" applyAlignment="0" applyProtection="0">
      <alignment horizontal="left"/>
    </xf>
    <xf numFmtId="49" fontId="31" fillId="0" borderId="26" applyNumberFormat="0" applyAlignment="0" applyProtection="0">
      <alignment horizontal="left" wrapText="1"/>
    </xf>
    <xf numFmtId="49" fontId="31" fillId="0" borderId="0" applyNumberFormat="0" applyAlignment="0" applyProtection="0">
      <alignment horizontal="left" wrapText="1"/>
    </xf>
    <xf numFmtId="49" fontId="32" fillId="0" borderId="0" applyAlignment="0" applyProtection="0">
      <alignment horizontal="left"/>
    </xf>
    <xf numFmtId="176" fontId="33" fillId="0" borderId="0">
      <alignment horizontal="center" vertical="center"/>
    </xf>
    <xf numFmtId="177" fontId="1" fillId="0" borderId="0">
      <alignment horizontal="right"/>
    </xf>
    <xf numFmtId="166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" fontId="34" fillId="0" borderId="0"/>
    <xf numFmtId="172" fontId="1" fillId="0" borderId="0">
      <alignment horizontal="right"/>
    </xf>
    <xf numFmtId="179" fontId="35" fillId="0" borderId="0">
      <alignment horizontal="center" vertical="center"/>
    </xf>
    <xf numFmtId="0" fontId="36" fillId="17" borderId="2">
      <alignment vertical="top" wrapText="1"/>
    </xf>
    <xf numFmtId="1" fontId="2" fillId="0" borderId="0"/>
    <xf numFmtId="0" fontId="37" fillId="18" borderId="2" applyNumberFormat="0">
      <alignment horizontal="left" vertical="top" wrapText="1"/>
    </xf>
    <xf numFmtId="180" fontId="1" fillId="0" borderId="5" applyFill="0" applyBorder="0" applyAlignment="0" applyProtection="0">
      <alignment horizontal="center"/>
    </xf>
    <xf numFmtId="38" fontId="38" fillId="0" borderId="0"/>
    <xf numFmtId="38" fontId="39" fillId="0" borderId="0"/>
    <xf numFmtId="38" fontId="40" fillId="0" borderId="0"/>
    <xf numFmtId="38" fontId="41" fillId="0" borderId="0"/>
    <xf numFmtId="0" fontId="42" fillId="0" borderId="0"/>
    <xf numFmtId="0" fontId="42" fillId="0" borderId="0"/>
    <xf numFmtId="171" fontId="1" fillId="0" borderId="0">
      <alignment horizontal="right"/>
    </xf>
    <xf numFmtId="0" fontId="43" fillId="0" borderId="0"/>
    <xf numFmtId="0" fontId="1" fillId="0" borderId="0"/>
    <xf numFmtId="181" fontId="44" fillId="0" borderId="0"/>
    <xf numFmtId="0" fontId="1" fillId="0" borderId="0"/>
    <xf numFmtId="170" fontId="45" fillId="19" borderId="27"/>
    <xf numFmtId="182" fontId="1" fillId="0" borderId="0"/>
    <xf numFmtId="9" fontId="26" fillId="0" borderId="0" applyFont="0" applyFill="0" applyBorder="0" applyAlignment="0" applyProtection="0"/>
    <xf numFmtId="4" fontId="46" fillId="20" borderId="28" applyNumberFormat="0" applyProtection="0">
      <alignment vertical="center"/>
    </xf>
    <xf numFmtId="4" fontId="47" fillId="20" borderId="28" applyNumberFormat="0" applyProtection="0">
      <alignment vertical="center"/>
    </xf>
    <xf numFmtId="4" fontId="46" fillId="20" borderId="28" applyNumberFormat="0" applyProtection="0">
      <alignment horizontal="left" vertical="center" indent="1"/>
    </xf>
    <xf numFmtId="4" fontId="46" fillId="20" borderId="28" applyNumberFormat="0" applyProtection="0">
      <alignment horizontal="left" vertical="center" indent="1"/>
    </xf>
    <xf numFmtId="0" fontId="1" fillId="21" borderId="28" applyNumberFormat="0" applyProtection="0">
      <alignment horizontal="left" vertical="center" indent="1"/>
    </xf>
    <xf numFmtId="4" fontId="46" fillId="22" borderId="28" applyNumberFormat="0" applyProtection="0">
      <alignment horizontal="right" vertical="center"/>
    </xf>
    <xf numFmtId="4" fontId="46" fillId="23" borderId="28" applyNumberFormat="0" applyProtection="0">
      <alignment horizontal="right" vertical="center"/>
    </xf>
    <xf numFmtId="4" fontId="46" fillId="24" borderId="28" applyNumberFormat="0" applyProtection="0">
      <alignment horizontal="right" vertical="center"/>
    </xf>
    <xf numFmtId="4" fontId="46" fillId="4" borderId="28" applyNumberFormat="0" applyProtection="0">
      <alignment horizontal="right" vertical="center"/>
    </xf>
    <xf numFmtId="4" fontId="46" fillId="25" borderId="28" applyNumberFormat="0" applyProtection="0">
      <alignment horizontal="right" vertical="center"/>
    </xf>
    <xf numFmtId="4" fontId="46" fillId="26" borderId="28" applyNumberFormat="0" applyProtection="0">
      <alignment horizontal="right" vertical="center"/>
    </xf>
    <xf numFmtId="4" fontId="46" fillId="27" borderId="28" applyNumberFormat="0" applyProtection="0">
      <alignment horizontal="right" vertical="center"/>
    </xf>
    <xf numFmtId="4" fontId="46" fillId="28" borderId="28" applyNumberFormat="0" applyProtection="0">
      <alignment horizontal="right" vertical="center"/>
    </xf>
    <xf numFmtId="4" fontId="46" fillId="29" borderId="28" applyNumberFormat="0" applyProtection="0">
      <alignment horizontal="right" vertical="center"/>
    </xf>
    <xf numFmtId="4" fontId="48" fillId="30" borderId="28" applyNumberFormat="0" applyProtection="0">
      <alignment horizontal="left" vertical="center" indent="1"/>
    </xf>
    <xf numFmtId="4" fontId="46" fillId="31" borderId="29" applyNumberFormat="0" applyProtection="0">
      <alignment horizontal="left" vertical="center" indent="1"/>
    </xf>
    <xf numFmtId="4" fontId="49" fillId="32" borderId="0" applyNumberFormat="0" applyProtection="0">
      <alignment horizontal="left" vertical="center" indent="1"/>
    </xf>
    <xf numFmtId="0" fontId="1" fillId="21" borderId="28" applyNumberFormat="0" applyProtection="0">
      <alignment horizontal="left" vertical="center" indent="1"/>
    </xf>
    <xf numFmtId="4" fontId="46" fillId="31" borderId="28" applyNumberFormat="0" applyProtection="0">
      <alignment horizontal="left" vertical="center" indent="1"/>
    </xf>
    <xf numFmtId="4" fontId="46" fillId="33" borderId="28" applyNumberFormat="0" applyProtection="0">
      <alignment horizontal="left" vertical="center" indent="1"/>
    </xf>
    <xf numFmtId="0" fontId="1" fillId="33" borderId="28" applyNumberFormat="0" applyProtection="0">
      <alignment horizontal="left" vertical="center" indent="1"/>
    </xf>
    <xf numFmtId="0" fontId="1" fillId="33" borderId="28" applyNumberFormat="0" applyProtection="0">
      <alignment horizontal="left" vertical="center" indent="1"/>
    </xf>
    <xf numFmtId="0" fontId="1" fillId="34" borderId="28" applyNumberFormat="0" applyProtection="0">
      <alignment horizontal="left" vertical="center" indent="1"/>
    </xf>
    <xf numFmtId="0" fontId="1" fillId="34" borderId="28" applyNumberFormat="0" applyProtection="0">
      <alignment horizontal="left" vertical="center" indent="1"/>
    </xf>
    <xf numFmtId="0" fontId="1" fillId="18" borderId="28" applyNumberFormat="0" applyProtection="0">
      <alignment horizontal="left" vertical="center" indent="1"/>
    </xf>
    <xf numFmtId="0" fontId="1" fillId="18" borderId="28" applyNumberFormat="0" applyProtection="0">
      <alignment horizontal="left" vertical="center" indent="1"/>
    </xf>
    <xf numFmtId="0" fontId="1" fillId="21" borderId="28" applyNumberFormat="0" applyProtection="0">
      <alignment horizontal="left" vertical="center" indent="1"/>
    </xf>
    <xf numFmtId="0" fontId="1" fillId="21" borderId="28" applyNumberFormat="0" applyProtection="0">
      <alignment horizontal="left" vertical="center" indent="1"/>
    </xf>
    <xf numFmtId="4" fontId="46" fillId="35" borderId="28" applyNumberFormat="0" applyProtection="0">
      <alignment vertical="center"/>
    </xf>
    <xf numFmtId="4" fontId="47" fillId="35" borderId="28" applyNumberFormat="0" applyProtection="0">
      <alignment vertical="center"/>
    </xf>
    <xf numFmtId="4" fontId="46" fillId="35" borderId="28" applyNumberFormat="0" applyProtection="0">
      <alignment horizontal="left" vertical="center" indent="1"/>
    </xf>
    <xf numFmtId="4" fontId="46" fillId="35" borderId="28" applyNumberFormat="0" applyProtection="0">
      <alignment horizontal="left" vertical="center" indent="1"/>
    </xf>
    <xf numFmtId="4" fontId="46" fillId="31" borderId="28" applyNumberFormat="0" applyProtection="0">
      <alignment horizontal="right" vertical="center"/>
    </xf>
    <xf numFmtId="4" fontId="47" fillId="31" borderId="28" applyNumberFormat="0" applyProtection="0">
      <alignment horizontal="right" vertical="center"/>
    </xf>
    <xf numFmtId="0" fontId="1" fillId="21" borderId="28" applyNumberFormat="0" applyProtection="0">
      <alignment horizontal="left" vertical="center" indent="1"/>
    </xf>
    <xf numFmtId="0" fontId="1" fillId="21" borderId="28" applyNumberFormat="0" applyProtection="0">
      <alignment horizontal="left" vertical="center" indent="1"/>
    </xf>
    <xf numFmtId="0" fontId="50" fillId="0" borderId="0"/>
    <xf numFmtId="4" fontId="51" fillId="31" borderId="28" applyNumberFormat="0" applyProtection="0">
      <alignment horizontal="right" vertical="center"/>
    </xf>
    <xf numFmtId="170" fontId="1" fillId="0" borderId="0">
      <alignment horizontal="center"/>
    </xf>
    <xf numFmtId="0" fontId="52" fillId="20" borderId="1"/>
    <xf numFmtId="49" fontId="53" fillId="2" borderId="0"/>
    <xf numFmtId="49" fontId="54" fillId="36" borderId="0"/>
    <xf numFmtId="49" fontId="54" fillId="2" borderId="0"/>
    <xf numFmtId="0" fontId="52" fillId="5" borderId="30">
      <protection locked="0"/>
    </xf>
    <xf numFmtId="0" fontId="52" fillId="4" borderId="1"/>
    <xf numFmtId="0" fontId="55" fillId="3" borderId="0"/>
    <xf numFmtId="0" fontId="55" fillId="29" borderId="0"/>
    <xf numFmtId="0" fontId="55" fillId="4" borderId="0"/>
    <xf numFmtId="15" fontId="56" fillId="5" borderId="0">
      <alignment horizontal="left"/>
    </xf>
    <xf numFmtId="15" fontId="56" fillId="5" borderId="0">
      <alignment horizontal="left"/>
    </xf>
    <xf numFmtId="0" fontId="1" fillId="0" borderId="0"/>
    <xf numFmtId="174" fontId="1" fillId="0" borderId="0">
      <alignment vertical="top"/>
    </xf>
    <xf numFmtId="0" fontId="28" fillId="0" borderId="31" applyNumberFormat="0" applyAlignment="0" applyProtection="0"/>
    <xf numFmtId="0" fontId="1" fillId="0" borderId="0" applyNumberFormat="0" applyFont="0" applyAlignment="0" applyProtection="0"/>
    <xf numFmtId="0" fontId="57" fillId="0" borderId="31" applyNumberFormat="0" applyAlignment="0" applyProtection="0">
      <alignment horizontal="left" vertical="top"/>
    </xf>
    <xf numFmtId="0" fontId="58" fillId="0" borderId="0" applyNumberFormat="0" applyProtection="0">
      <alignment horizontal="left" vertical="top"/>
    </xf>
    <xf numFmtId="0" fontId="1" fillId="0" borderId="0" applyNumberFormat="0" applyFont="0" applyAlignment="0" applyProtection="0"/>
    <xf numFmtId="183" fontId="28" fillId="0" borderId="31">
      <alignment vertical="top"/>
    </xf>
    <xf numFmtId="0" fontId="58" fillId="0" borderId="0" applyNumberFormat="0" applyFill="0" applyBorder="0" applyProtection="0"/>
    <xf numFmtId="0" fontId="59" fillId="0" borderId="0" applyNumberFormat="0" applyFill="0" applyBorder="0" applyProtection="0">
      <alignment vertical="top"/>
    </xf>
    <xf numFmtId="0" fontId="60" fillId="0" borderId="32" applyNumberFormat="0" applyProtection="0">
      <alignment horizontal="left" vertical="top"/>
    </xf>
    <xf numFmtId="0" fontId="60" fillId="0" borderId="32" applyNumberFormat="0" applyProtection="0">
      <alignment horizontal="right" vertical="top"/>
    </xf>
    <xf numFmtId="0" fontId="57" fillId="0" borderId="0" applyNumberFormat="0" applyProtection="0">
      <alignment horizontal="left" vertical="top"/>
    </xf>
    <xf numFmtId="0" fontId="57" fillId="0" borderId="0" applyNumberFormat="0" applyProtection="0">
      <alignment horizontal="right" vertical="top"/>
    </xf>
    <xf numFmtId="0" fontId="28" fillId="0" borderId="0" applyNumberFormat="0" applyProtection="0">
      <alignment horizontal="left" vertical="top"/>
    </xf>
    <xf numFmtId="0" fontId="28" fillId="0" borderId="0" applyNumberFormat="0" applyProtection="0">
      <alignment horizontal="right" vertical="top"/>
    </xf>
    <xf numFmtId="0" fontId="1" fillId="0" borderId="33" applyNumberFormat="0" applyFont="0" applyAlignment="0" applyProtection="0"/>
    <xf numFmtId="0" fontId="1" fillId="0" borderId="34" applyNumberFormat="0" applyFont="0" applyAlignment="0" applyProtection="0"/>
    <xf numFmtId="0" fontId="1" fillId="0" borderId="35" applyNumberFormat="0" applyFont="0" applyAlignment="0" applyProtection="0"/>
    <xf numFmtId="10" fontId="61" fillId="0" borderId="0" applyNumberFormat="0" applyFill="0" applyBorder="0" applyProtection="0">
      <alignment horizontal="right" vertical="top"/>
    </xf>
    <xf numFmtId="0" fontId="57" fillId="0" borderId="32" applyNumberFormat="0" applyFill="0" applyAlignment="0" applyProtection="0"/>
    <xf numFmtId="0" fontId="28" fillId="0" borderId="36" applyNumberFormat="0" applyFont="0" applyFill="0" applyAlignment="0" applyProtection="0">
      <alignment horizontal="left" vertical="top"/>
    </xf>
    <xf numFmtId="0" fontId="57" fillId="0" borderId="2" applyNumberFormat="0" applyFill="0" applyAlignment="0" applyProtection="0">
      <alignment vertical="top"/>
    </xf>
    <xf numFmtId="0" fontId="44" fillId="0" borderId="37">
      <alignment horizontal="left"/>
    </xf>
    <xf numFmtId="184" fontId="1" fillId="0" borderId="0"/>
    <xf numFmtId="1" fontId="30" fillId="0" borderId="0"/>
    <xf numFmtId="1" fontId="51" fillId="0" borderId="0"/>
    <xf numFmtId="164" fontId="1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</cellStyleXfs>
  <cellXfs count="351">
    <xf numFmtId="0" fontId="0" fillId="0" borderId="0" xfId="0"/>
    <xf numFmtId="0" fontId="8" fillId="0" borderId="0" xfId="0" applyFont="1"/>
    <xf numFmtId="0" fontId="8" fillId="0" borderId="0" xfId="6" applyFont="1" applyAlignment="1">
      <alignment horizontal="left"/>
    </xf>
    <xf numFmtId="0" fontId="8" fillId="0" borderId="0" xfId="0" applyFont="1" applyAlignment="1">
      <alignment horizontal="left" indent="2"/>
    </xf>
    <xf numFmtId="0" fontId="12" fillId="0" borderId="0" xfId="0" applyFont="1"/>
    <xf numFmtId="0" fontId="8" fillId="0" borderId="0" xfId="0" applyFont="1" applyAlignment="1">
      <alignment horizontal="right"/>
    </xf>
    <xf numFmtId="0" fontId="14" fillId="0" borderId="0" xfId="8" applyFont="1"/>
    <xf numFmtId="0" fontId="18" fillId="7" borderId="0" xfId="11" applyFont="1" applyFill="1"/>
    <xf numFmtId="0" fontId="19" fillId="7" borderId="0" xfId="11" applyFont="1" applyFill="1" applyAlignment="1">
      <alignment horizontal="right"/>
    </xf>
    <xf numFmtId="171" fontId="20" fillId="7" borderId="0" xfId="2" applyFont="1" applyFill="1" applyAlignment="1">
      <alignment horizontal="left"/>
    </xf>
    <xf numFmtId="0" fontId="17" fillId="0" borderId="0" xfId="0" applyFont="1"/>
    <xf numFmtId="15" fontId="20" fillId="7" borderId="0" xfId="10" applyNumberFormat="1" applyFont="1" applyFill="1" applyAlignment="1">
      <alignment horizontal="left"/>
    </xf>
    <xf numFmtId="0" fontId="21" fillId="0" borderId="6" xfId="0" applyFont="1" applyBorder="1" applyAlignment="1">
      <alignment horizontal="right"/>
    </xf>
    <xf numFmtId="0" fontId="21" fillId="0" borderId="13" xfId="0" applyFont="1" applyBorder="1"/>
    <xf numFmtId="15" fontId="20" fillId="7" borderId="14" xfId="10" applyNumberFormat="1" applyFont="1" applyFill="1" applyBorder="1" applyAlignment="1">
      <alignment horizontal="left"/>
    </xf>
    <xf numFmtId="15" fontId="20" fillId="7" borderId="15" xfId="10" applyNumberFormat="1" applyFont="1" applyFill="1" applyBorder="1" applyAlignment="1">
      <alignment horizontal="left"/>
    </xf>
    <xf numFmtId="1" fontId="20" fillId="7" borderId="8" xfId="10" quotePrefix="1" applyNumberFormat="1" applyFont="1" applyFill="1" applyBorder="1" applyAlignment="1">
      <alignment horizontal="right"/>
    </xf>
    <xf numFmtId="0" fontId="17" fillId="0" borderId="9" xfId="0" applyFont="1" applyBorder="1"/>
    <xf numFmtId="0" fontId="17" fillId="0" borderId="5" xfId="0" applyFont="1" applyBorder="1"/>
    <xf numFmtId="172" fontId="14" fillId="0" borderId="0" xfId="2" applyNumberFormat="1" applyFont="1" applyAlignment="1">
      <alignment horizontal="right"/>
    </xf>
    <xf numFmtId="170" fontId="21" fillId="0" borderId="0" xfId="13" applyFont="1" applyBorder="1"/>
    <xf numFmtId="3" fontId="17" fillId="0" borderId="5" xfId="0" applyNumberFormat="1" applyFont="1" applyBorder="1"/>
    <xf numFmtId="3" fontId="17" fillId="0" borderId="9" xfId="0" applyNumberFormat="1" applyFont="1" applyBorder="1"/>
    <xf numFmtId="3" fontId="17" fillId="0" borderId="0" xfId="0" applyNumberFormat="1" applyFont="1"/>
    <xf numFmtId="171" fontId="14" fillId="0" borderId="0" xfId="2" applyFont="1" applyAlignment="1">
      <alignment horizontal="right"/>
    </xf>
    <xf numFmtId="171" fontId="14" fillId="0" borderId="9" xfId="2" applyFont="1" applyBorder="1" applyAlignment="1"/>
    <xf numFmtId="171" fontId="22" fillId="0" borderId="9" xfId="2" applyFont="1" applyBorder="1" applyAlignment="1"/>
    <xf numFmtId="171" fontId="17" fillId="0" borderId="9" xfId="2" applyFont="1" applyBorder="1" applyAlignment="1">
      <alignment horizontal="left" indent="1"/>
    </xf>
    <xf numFmtId="167" fontId="14" fillId="0" borderId="0" xfId="2" applyNumberFormat="1" applyFont="1" applyAlignment="1">
      <alignment horizontal="right"/>
    </xf>
    <xf numFmtId="1" fontId="14" fillId="0" borderId="0" xfId="12" applyNumberFormat="1" applyFont="1" applyAlignment="1">
      <alignment horizontal="right"/>
    </xf>
    <xf numFmtId="4" fontId="14" fillId="0" borderId="0" xfId="13" applyNumberFormat="1" applyFont="1" applyBorder="1"/>
    <xf numFmtId="4" fontId="14" fillId="0" borderId="5" xfId="13" applyNumberFormat="1" applyFont="1" applyBorder="1"/>
    <xf numFmtId="171" fontId="21" fillId="0" borderId="9" xfId="2" applyFont="1" applyBorder="1" applyAlignment="1"/>
    <xf numFmtId="171" fontId="14" fillId="0" borderId="9" xfId="2" applyFont="1" applyBorder="1" applyAlignment="1">
      <alignment horizontal="left" indent="1"/>
    </xf>
    <xf numFmtId="9" fontId="14" fillId="0" borderId="9" xfId="7" applyFont="1" applyBorder="1" applyAlignment="1">
      <alignment horizontal="left" indent="1"/>
    </xf>
    <xf numFmtId="9" fontId="14" fillId="0" borderId="0" xfId="7" applyFont="1" applyBorder="1" applyAlignment="1">
      <alignment horizontal="right"/>
    </xf>
    <xf numFmtId="9" fontId="14" fillId="0" borderId="0" xfId="7" applyFont="1" applyBorder="1"/>
    <xf numFmtId="3" fontId="14" fillId="0" borderId="5" xfId="7" applyNumberFormat="1" applyFont="1" applyBorder="1"/>
    <xf numFmtId="172" fontId="17" fillId="0" borderId="9" xfId="2" quotePrefix="1" applyNumberFormat="1" applyFont="1" applyBorder="1" applyAlignment="1"/>
    <xf numFmtId="3" fontId="14" fillId="0" borderId="5" xfId="0" applyNumberFormat="1" applyFont="1" applyBorder="1"/>
    <xf numFmtId="3" fontId="14" fillId="0" borderId="0" xfId="0" applyNumberFormat="1" applyFont="1"/>
    <xf numFmtId="172" fontId="14" fillId="0" borderId="9" xfId="2" applyNumberFormat="1" applyFont="1" applyBorder="1" applyAlignment="1"/>
    <xf numFmtId="0" fontId="21" fillId="8" borderId="13" xfId="3" applyFont="1" applyFill="1" applyBorder="1" applyAlignment="1">
      <alignment vertical="center"/>
    </xf>
    <xf numFmtId="0" fontId="22" fillId="8" borderId="2" xfId="3" applyFont="1" applyFill="1" applyBorder="1" applyAlignment="1">
      <alignment vertical="center"/>
    </xf>
    <xf numFmtId="3" fontId="22" fillId="8" borderId="3" xfId="3" applyNumberFormat="1" applyFont="1" applyFill="1" applyBorder="1" applyAlignment="1">
      <alignment vertical="center"/>
    </xf>
    <xf numFmtId="3" fontId="22" fillId="8" borderId="13" xfId="3" applyNumberFormat="1" applyFont="1" applyFill="1" applyBorder="1" applyAlignment="1">
      <alignment vertical="center"/>
    </xf>
    <xf numFmtId="172" fontId="14" fillId="0" borderId="0" xfId="2" applyNumberFormat="1" applyFont="1" applyAlignment="1"/>
    <xf numFmtId="0" fontId="14" fillId="0" borderId="9" xfId="0" applyFont="1" applyBorder="1"/>
    <xf numFmtId="171" fontId="17" fillId="0" borderId="9" xfId="2" quotePrefix="1" applyFont="1" applyBorder="1" applyAlignment="1"/>
    <xf numFmtId="0" fontId="21" fillId="8" borderId="9" xfId="3" applyFont="1" applyFill="1" applyBorder="1" applyAlignment="1">
      <alignment vertical="center"/>
    </xf>
    <xf numFmtId="0" fontId="22" fillId="8" borderId="0" xfId="3" applyFont="1" applyFill="1" applyBorder="1" applyAlignment="1">
      <alignment vertical="center"/>
    </xf>
    <xf numFmtId="170" fontId="21" fillId="8" borderId="0" xfId="13" applyFont="1" applyFill="1" applyBorder="1"/>
    <xf numFmtId="171" fontId="14" fillId="0" borderId="9" xfId="2" quotePrefix="1" applyFont="1" applyBorder="1" applyAlignment="1"/>
    <xf numFmtId="171" fontId="21" fillId="8" borderId="9" xfId="2" applyFont="1" applyFill="1" applyBorder="1" applyAlignment="1"/>
    <xf numFmtId="171" fontId="21" fillId="8" borderId="0" xfId="2" applyFont="1" applyFill="1" applyAlignment="1">
      <alignment horizontal="right"/>
    </xf>
    <xf numFmtId="173" fontId="21" fillId="8" borderId="5" xfId="0" applyNumberFormat="1" applyFont="1" applyFill="1" applyBorder="1" applyAlignment="1">
      <alignment horizontal="right"/>
    </xf>
    <xf numFmtId="4" fontId="21" fillId="8" borderId="0" xfId="0" applyNumberFormat="1" applyFont="1" applyFill="1" applyAlignment="1">
      <alignment horizontal="right"/>
    </xf>
    <xf numFmtId="173" fontId="21" fillId="0" borderId="0" xfId="13" applyNumberFormat="1" applyFont="1" applyBorder="1"/>
    <xf numFmtId="173" fontId="21" fillId="0" borderId="4" xfId="13" applyNumberFormat="1" applyFont="1" applyBorder="1"/>
    <xf numFmtId="173" fontId="14" fillId="0" borderId="4" xfId="0" applyNumberFormat="1" applyFont="1" applyBorder="1"/>
    <xf numFmtId="173" fontId="14" fillId="0" borderId="4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173" fontId="14" fillId="0" borderId="5" xfId="0" applyNumberFormat="1" applyFont="1" applyBorder="1" applyAlignment="1">
      <alignment horizontal="right"/>
    </xf>
    <xf numFmtId="0" fontId="21" fillId="0" borderId="9" xfId="3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3" fontId="22" fillId="0" borderId="5" xfId="3" applyNumberFormat="1" applyFont="1" applyFill="1" applyBorder="1" applyAlignment="1">
      <alignment vertical="center"/>
    </xf>
    <xf numFmtId="3" fontId="22" fillId="0" borderId="0" xfId="3" applyNumberFormat="1" applyFont="1" applyFill="1" applyBorder="1" applyAlignment="1">
      <alignment vertical="center"/>
    </xf>
    <xf numFmtId="15" fontId="23" fillId="7" borderId="0" xfId="10" applyNumberFormat="1" applyFont="1" applyFill="1" applyAlignment="1">
      <alignment horizontal="left"/>
    </xf>
    <xf numFmtId="0" fontId="6" fillId="0" borderId="0" xfId="0" applyFont="1"/>
    <xf numFmtId="15" fontId="25" fillId="7" borderId="0" xfId="10" applyNumberFormat="1" applyFont="1" applyFill="1" applyAlignment="1">
      <alignment horizontal="left"/>
    </xf>
    <xf numFmtId="15" fontId="25" fillId="7" borderId="0" xfId="10" applyNumberFormat="1" applyFont="1" applyFill="1" applyAlignment="1">
      <alignment horizontal="right"/>
    </xf>
    <xf numFmtId="15" fontId="23" fillId="0" borderId="0" xfId="10" applyNumberFormat="1" applyFont="1" applyAlignment="1">
      <alignment horizontal="left"/>
    </xf>
    <xf numFmtId="15" fontId="25" fillId="0" borderId="0" xfId="10" applyNumberFormat="1" applyFont="1" applyAlignment="1">
      <alignment horizontal="left"/>
    </xf>
    <xf numFmtId="0" fontId="23" fillId="0" borderId="0" xfId="0" applyFont="1" applyAlignment="1">
      <alignment horizontal="right"/>
    </xf>
    <xf numFmtId="0" fontId="23" fillId="0" borderId="0" xfId="0" applyFont="1"/>
    <xf numFmtId="0" fontId="23" fillId="0" borderId="0" xfId="6" applyFont="1"/>
    <xf numFmtId="0" fontId="8" fillId="0" borderId="0" xfId="6" applyFont="1" applyAlignment="1">
      <alignment horizontal="right"/>
    </xf>
    <xf numFmtId="0" fontId="23" fillId="0" borderId="0" xfId="6" applyFont="1" applyAlignment="1">
      <alignment horizontal="left"/>
    </xf>
    <xf numFmtId="169" fontId="23" fillId="0" borderId="0" xfId="7" applyNumberFormat="1" applyFont="1" applyFill="1" applyBorder="1" applyAlignment="1">
      <alignment horizontal="right"/>
    </xf>
    <xf numFmtId="169" fontId="8" fillId="0" borderId="0" xfId="7" applyNumberFormat="1" applyFont="1" applyFill="1" applyBorder="1" applyAlignment="1">
      <alignment horizontal="right"/>
    </xf>
    <xf numFmtId="0" fontId="8" fillId="0" borderId="0" xfId="6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24" fillId="0" borderId="0" xfId="11" applyFont="1" applyFill="1"/>
    <xf numFmtId="0" fontId="23" fillId="7" borderId="0" xfId="10" applyFont="1" applyFill="1" applyAlignment="1">
      <alignment horizontal="left"/>
    </xf>
    <xf numFmtId="0" fontId="25" fillId="0" borderId="0" xfId="10" applyFont="1" applyAlignment="1">
      <alignment horizontal="right"/>
    </xf>
    <xf numFmtId="0" fontId="18" fillId="37" borderId="0" xfId="11" applyFont="1" applyFill="1"/>
    <xf numFmtId="0" fontId="17" fillId="37" borderId="0" xfId="0" applyFont="1" applyFill="1"/>
    <xf numFmtId="15" fontId="20" fillId="37" borderId="0" xfId="10" applyNumberFormat="1" applyFont="1" applyFill="1" applyAlignment="1">
      <alignment horizontal="left"/>
    </xf>
    <xf numFmtId="3" fontId="16" fillId="0" borderId="0" xfId="9" applyNumberFormat="1" applyFont="1" applyProtection="1">
      <protection locked="0"/>
    </xf>
    <xf numFmtId="0" fontId="14" fillId="37" borderId="0" xfId="8" applyFont="1" applyFill="1"/>
    <xf numFmtId="0" fontId="15" fillId="0" borderId="0" xfId="9" applyFont="1" applyProtection="1">
      <protection hidden="1"/>
    </xf>
    <xf numFmtId="0" fontId="16" fillId="0" borderId="0" xfId="9" applyFont="1" applyProtection="1">
      <protection hidden="1"/>
    </xf>
    <xf numFmtId="168" fontId="17" fillId="0" borderId="0" xfId="4" applyNumberFormat="1" applyFont="1" applyBorder="1"/>
    <xf numFmtId="0" fontId="14" fillId="0" borderId="39" xfId="8" applyFont="1" applyBorder="1"/>
    <xf numFmtId="0" fontId="14" fillId="0" borderId="0" xfId="8" applyFont="1" applyAlignment="1">
      <alignment horizontal="right"/>
    </xf>
    <xf numFmtId="0" fontId="17" fillId="0" borderId="0" xfId="0" applyFont="1" applyAlignment="1">
      <alignment horizontal="right"/>
    </xf>
    <xf numFmtId="171" fontId="14" fillId="0" borderId="42" xfId="2" applyFont="1" applyBorder="1" applyAlignment="1">
      <alignment horizontal="right"/>
    </xf>
    <xf numFmtId="171" fontId="14" fillId="0" borderId="41" xfId="2" applyFont="1" applyBorder="1" applyAlignment="1">
      <alignment horizontal="right"/>
    </xf>
    <xf numFmtId="9" fontId="14" fillId="0" borderId="9" xfId="7" applyFont="1" applyBorder="1"/>
    <xf numFmtId="171" fontId="22" fillId="0" borderId="44" xfId="2" applyFont="1" applyBorder="1" applyAlignment="1">
      <alignment horizontal="left" indent="1"/>
    </xf>
    <xf numFmtId="1" fontId="21" fillId="0" borderId="42" xfId="12" applyNumberFormat="1" applyFont="1" applyBorder="1" applyAlignment="1">
      <alignment horizontal="right"/>
    </xf>
    <xf numFmtId="170" fontId="21" fillId="0" borderId="42" xfId="13" applyFont="1" applyBorder="1"/>
    <xf numFmtId="3" fontId="22" fillId="0" borderId="45" xfId="0" applyNumberFormat="1" applyFont="1" applyBorder="1"/>
    <xf numFmtId="185" fontId="17" fillId="0" borderId="5" xfId="0" applyNumberFormat="1" applyFont="1" applyBorder="1"/>
    <xf numFmtId="10" fontId="14" fillId="0" borderId="0" xfId="7" applyNumberFormat="1" applyFont="1" applyBorder="1" applyAlignment="1">
      <alignment horizontal="right"/>
    </xf>
    <xf numFmtId="185" fontId="14" fillId="0" borderId="5" xfId="0" applyNumberFormat="1" applyFont="1" applyBorder="1"/>
    <xf numFmtId="3" fontId="22" fillId="8" borderId="39" xfId="3" applyNumberFormat="1" applyFont="1" applyFill="1" applyBorder="1" applyAlignment="1">
      <alignment vertical="center"/>
    </xf>
    <xf numFmtId="171" fontId="17" fillId="0" borderId="9" xfId="2" applyFont="1" applyBorder="1" applyAlignment="1"/>
    <xf numFmtId="173" fontId="17" fillId="0" borderId="5" xfId="0" applyNumberFormat="1" applyFont="1" applyBorder="1"/>
    <xf numFmtId="173" fontId="17" fillId="0" borderId="0" xfId="0" applyNumberFormat="1" applyFont="1"/>
    <xf numFmtId="185" fontId="17" fillId="0" borderId="0" xfId="0" applyNumberFormat="1" applyFont="1"/>
    <xf numFmtId="185" fontId="17" fillId="0" borderId="9" xfId="0" applyNumberFormat="1" applyFont="1" applyBorder="1"/>
    <xf numFmtId="185" fontId="14" fillId="0" borderId="9" xfId="0" applyNumberFormat="1" applyFont="1" applyBorder="1"/>
    <xf numFmtId="185" fontId="14" fillId="0" borderId="0" xfId="0" applyNumberFormat="1" applyFont="1"/>
    <xf numFmtId="185" fontId="14" fillId="0" borderId="44" xfId="0" applyNumberFormat="1" applyFont="1" applyBorder="1"/>
    <xf numFmtId="185" fontId="14" fillId="0" borderId="42" xfId="0" applyNumberFormat="1" applyFont="1" applyBorder="1"/>
    <xf numFmtId="170" fontId="21" fillId="8" borderId="40" xfId="13" applyFont="1" applyFill="1" applyBorder="1"/>
    <xf numFmtId="173" fontId="21" fillId="0" borderId="6" xfId="13" applyNumberFormat="1" applyFont="1" applyBorder="1"/>
    <xf numFmtId="171" fontId="14" fillId="0" borderId="13" xfId="2" applyFont="1" applyBorder="1" applyAlignment="1"/>
    <xf numFmtId="171" fontId="14" fillId="0" borderId="38" xfId="2" applyFont="1" applyBorder="1" applyAlignment="1"/>
    <xf numFmtId="173" fontId="21" fillId="0" borderId="1" xfId="13" applyNumberFormat="1" applyFont="1"/>
    <xf numFmtId="171" fontId="17" fillId="0" borderId="0" xfId="0" applyNumberFormat="1" applyFont="1"/>
    <xf numFmtId="172" fontId="17" fillId="0" borderId="0" xfId="0" applyNumberFormat="1" applyFont="1"/>
    <xf numFmtId="0" fontId="22" fillId="0" borderId="0" xfId="0" applyFont="1"/>
    <xf numFmtId="2" fontId="14" fillId="0" borderId="0" xfId="12" applyNumberFormat="1" applyFont="1" applyAlignment="1">
      <alignment horizontal="right"/>
    </xf>
    <xf numFmtId="185" fontId="14" fillId="0" borderId="0" xfId="12" applyNumberFormat="1" applyFont="1" applyAlignment="1">
      <alignment horizontal="right"/>
    </xf>
    <xf numFmtId="3" fontId="16" fillId="0" borderId="46" xfId="9" applyNumberFormat="1" applyFont="1" applyBorder="1" applyProtection="1">
      <protection locked="0"/>
    </xf>
    <xf numFmtId="0" fontId="15" fillId="0" borderId="10" xfId="9" applyFont="1" applyBorder="1" applyProtection="1">
      <protection hidden="1"/>
    </xf>
    <xf numFmtId="3" fontId="15" fillId="0" borderId="10" xfId="9" applyNumberFormat="1" applyFont="1" applyBorder="1" applyProtection="1">
      <protection hidden="1"/>
    </xf>
    <xf numFmtId="0" fontId="14" fillId="0" borderId="10" xfId="8" applyFont="1" applyBorder="1"/>
    <xf numFmtId="168" fontId="22" fillId="0" borderId="0" xfId="4" applyNumberFormat="1" applyFont="1" applyFill="1" applyBorder="1"/>
    <xf numFmtId="0" fontId="16" fillId="0" borderId="10" xfId="9" applyFont="1" applyBorder="1" applyProtection="1">
      <protection hidden="1"/>
    </xf>
    <xf numFmtId="3" fontId="16" fillId="0" borderId="10" xfId="9" applyNumberFormat="1" applyFont="1" applyBorder="1" applyProtection="1">
      <protection locked="0"/>
    </xf>
    <xf numFmtId="167" fontId="21" fillId="0" borderId="42" xfId="2" applyNumberFormat="1" applyFont="1" applyBorder="1" applyAlignment="1">
      <alignment horizontal="right"/>
    </xf>
    <xf numFmtId="0" fontId="17" fillId="0" borderId="4" xfId="0" applyFont="1" applyBorder="1"/>
    <xf numFmtId="3" fontId="17" fillId="0" borderId="4" xfId="0" applyNumberFormat="1" applyFont="1" applyBorder="1"/>
    <xf numFmtId="185" fontId="17" fillId="0" borderId="4" xfId="0" applyNumberFormat="1" applyFont="1" applyBorder="1"/>
    <xf numFmtId="185" fontId="14" fillId="0" borderId="4" xfId="0" applyNumberFormat="1" applyFont="1" applyBorder="1"/>
    <xf numFmtId="185" fontId="14" fillId="0" borderId="41" xfId="0" applyNumberFormat="1" applyFont="1" applyBorder="1"/>
    <xf numFmtId="4" fontId="21" fillId="8" borderId="4" xfId="0" applyNumberFormat="1" applyFont="1" applyFill="1" applyBorder="1" applyAlignment="1">
      <alignment horizontal="right"/>
    </xf>
    <xf numFmtId="173" fontId="17" fillId="0" borderId="4" xfId="0" applyNumberFormat="1" applyFont="1" applyBorder="1"/>
    <xf numFmtId="3" fontId="14" fillId="0" borderId="9" xfId="7" applyNumberFormat="1" applyFont="1" applyBorder="1"/>
    <xf numFmtId="4" fontId="14" fillId="0" borderId="0" xfId="2" applyNumberFormat="1" applyFont="1" applyAlignment="1">
      <alignment horizontal="right"/>
    </xf>
    <xf numFmtId="0" fontId="14" fillId="7" borderId="0" xfId="8" applyFont="1" applyFill="1"/>
    <xf numFmtId="186" fontId="14" fillId="0" borderId="0" xfId="2" applyNumberFormat="1" applyFont="1" applyAlignment="1">
      <alignment horizontal="right"/>
    </xf>
    <xf numFmtId="3" fontId="14" fillId="0" borderId="0" xfId="12" applyNumberFormat="1" applyFont="1" applyAlignment="1">
      <alignment horizontal="right"/>
    </xf>
    <xf numFmtId="15" fontId="20" fillId="7" borderId="15" xfId="10" applyNumberFormat="1" applyFont="1" applyFill="1" applyBorder="1" applyAlignment="1">
      <alignment horizontal="right"/>
    </xf>
    <xf numFmtId="170" fontId="21" fillId="8" borderId="11" xfId="14" applyFont="1" applyFill="1" applyBorder="1"/>
    <xf numFmtId="171" fontId="14" fillId="8" borderId="10" xfId="2" applyFont="1" applyFill="1" applyBorder="1" applyAlignment="1">
      <alignment horizontal="right"/>
    </xf>
    <xf numFmtId="170" fontId="21" fillId="8" borderId="0" xfId="14" applyFont="1" applyFill="1" applyBorder="1"/>
    <xf numFmtId="3" fontId="21" fillId="8" borderId="16" xfId="14" applyNumberFormat="1" applyFont="1" applyFill="1" applyBorder="1"/>
    <xf numFmtId="3" fontId="21" fillId="8" borderId="11" xfId="14" applyNumberFormat="1" applyFont="1" applyFill="1" applyBorder="1"/>
    <xf numFmtId="3" fontId="21" fillId="8" borderId="10" xfId="14" applyNumberFormat="1" applyFont="1" applyFill="1"/>
    <xf numFmtId="170" fontId="21" fillId="8" borderId="10" xfId="14" applyFont="1" applyFill="1"/>
    <xf numFmtId="170" fontId="21" fillId="8" borderId="43" xfId="13" applyFont="1" applyFill="1" applyBorder="1"/>
    <xf numFmtId="3" fontId="21" fillId="8" borderId="43" xfId="14" applyNumberFormat="1" applyFont="1" applyFill="1" applyBorder="1"/>
    <xf numFmtId="0" fontId="8" fillId="0" borderId="48" xfId="0" applyFont="1" applyBorder="1"/>
    <xf numFmtId="0" fontId="8" fillId="0" borderId="49" xfId="0" applyFont="1" applyBorder="1"/>
    <xf numFmtId="0" fontId="8" fillId="0" borderId="49" xfId="0" applyFont="1" applyBorder="1" applyAlignment="1">
      <alignment horizontal="right"/>
    </xf>
    <xf numFmtId="0" fontId="6" fillId="0" borderId="50" xfId="0" applyFont="1" applyBorder="1"/>
    <xf numFmtId="0" fontId="24" fillId="7" borderId="0" xfId="11" applyFont="1" applyFill="1"/>
    <xf numFmtId="0" fontId="24" fillId="7" borderId="0" xfId="11" applyFont="1" applyFill="1" applyAlignment="1">
      <alignment horizontal="right"/>
    </xf>
    <xf numFmtId="0" fontId="8" fillId="0" borderId="50" xfId="0" applyFont="1" applyBorder="1"/>
    <xf numFmtId="2" fontId="8" fillId="0" borderId="15" xfId="7" applyNumberFormat="1" applyFont="1" applyFill="1" applyBorder="1" applyAlignment="1">
      <alignment horizontal="right"/>
    </xf>
    <xf numFmtId="0" fontId="8" fillId="0" borderId="51" xfId="0" applyFont="1" applyBorder="1"/>
    <xf numFmtId="0" fontId="8" fillId="0" borderId="52" xfId="0" applyFont="1" applyBorder="1"/>
    <xf numFmtId="0" fontId="8" fillId="0" borderId="52" xfId="7" applyNumberFormat="1" applyFont="1" applyFill="1" applyBorder="1" applyAlignment="1">
      <alignment horizontal="right"/>
    </xf>
    <xf numFmtId="0" fontId="14" fillId="0" borderId="17" xfId="8" applyFont="1" applyBorder="1"/>
    <xf numFmtId="0" fontId="14" fillId="0" borderId="18" xfId="8" applyFont="1" applyBorder="1"/>
    <xf numFmtId="0" fontId="14" fillId="0" borderId="19" xfId="8" applyFont="1" applyBorder="1"/>
    <xf numFmtId="0" fontId="14" fillId="0" borderId="21" xfId="8" applyFont="1" applyBorder="1"/>
    <xf numFmtId="0" fontId="14" fillId="0" borderId="23" xfId="8" applyFont="1" applyBorder="1"/>
    <xf numFmtId="0" fontId="21" fillId="0" borderId="0" xfId="8" applyFont="1"/>
    <xf numFmtId="0" fontId="14" fillId="0" borderId="0" xfId="8" applyFont="1" applyAlignment="1">
      <alignment horizontal="left"/>
    </xf>
    <xf numFmtId="186" fontId="14" fillId="8" borderId="46" xfId="8" applyNumberFormat="1" applyFont="1" applyFill="1" applyBorder="1"/>
    <xf numFmtId="186" fontId="14" fillId="0" borderId="0" xfId="8" applyNumberFormat="1" applyFont="1" applyAlignment="1">
      <alignment horizontal="right" wrapText="1"/>
    </xf>
    <xf numFmtId="4" fontId="16" fillId="8" borderId="46" xfId="9" applyNumberFormat="1" applyFont="1" applyFill="1" applyBorder="1" applyProtection="1">
      <protection locked="0"/>
    </xf>
    <xf numFmtId="3" fontId="14" fillId="0" borderId="23" xfId="8" applyNumberFormat="1" applyFont="1" applyBorder="1" applyAlignment="1">
      <alignment horizontal="right" wrapText="1"/>
    </xf>
    <xf numFmtId="2" fontId="14" fillId="0" borderId="23" xfId="8" applyNumberFormat="1" applyFont="1" applyBorder="1"/>
    <xf numFmtId="168" fontId="22" fillId="8" borderId="47" xfId="4" applyNumberFormat="1" applyFont="1" applyFill="1" applyBorder="1"/>
    <xf numFmtId="0" fontId="14" fillId="0" borderId="23" xfId="8" applyFont="1" applyBorder="1" applyAlignment="1">
      <alignment horizontal="left"/>
    </xf>
    <xf numFmtId="0" fontId="21" fillId="0" borderId="23" xfId="8" applyFont="1" applyBorder="1" applyAlignment="1">
      <alignment horizontal="left"/>
    </xf>
    <xf numFmtId="3" fontId="16" fillId="0" borderId="15" xfId="9" applyNumberFormat="1" applyFont="1" applyBorder="1" applyProtection="1">
      <protection locked="0"/>
    </xf>
    <xf numFmtId="168" fontId="22" fillId="0" borderId="15" xfId="4" applyNumberFormat="1" applyFont="1" applyFill="1" applyBorder="1"/>
    <xf numFmtId="0" fontId="21" fillId="0" borderId="0" xfId="8" applyFont="1" applyAlignment="1">
      <alignment horizontal="left"/>
    </xf>
    <xf numFmtId="168" fontId="22" fillId="8" borderId="53" xfId="4" applyNumberFormat="1" applyFont="1" applyFill="1" applyBorder="1"/>
    <xf numFmtId="168" fontId="22" fillId="8" borderId="54" xfId="4" applyNumberFormat="1" applyFont="1" applyFill="1" applyBorder="1"/>
    <xf numFmtId="3" fontId="16" fillId="0" borderId="15" xfId="9" applyNumberFormat="1" applyFont="1" applyBorder="1" applyAlignment="1" applyProtection="1">
      <alignment vertical="center"/>
      <protection locked="0"/>
    </xf>
    <xf numFmtId="2" fontId="14" fillId="0" borderId="15" xfId="8" applyNumberFormat="1" applyFont="1" applyBorder="1"/>
    <xf numFmtId="168" fontId="17" fillId="0" borderId="10" xfId="4" applyNumberFormat="1" applyFont="1" applyBorder="1"/>
    <xf numFmtId="3" fontId="21" fillId="0" borderId="46" xfId="8" applyNumberFormat="1" applyFont="1" applyBorder="1" applyAlignment="1">
      <alignment horizontal="right"/>
    </xf>
    <xf numFmtId="0" fontId="21" fillId="0" borderId="5" xfId="0" applyFont="1" applyBorder="1" applyAlignment="1">
      <alignment horizontal="right"/>
    </xf>
    <xf numFmtId="0" fontId="21" fillId="0" borderId="9" xfId="0" applyFont="1" applyBorder="1"/>
    <xf numFmtId="0" fontId="14" fillId="0" borderId="0" xfId="0" applyFont="1"/>
    <xf numFmtId="171" fontId="14" fillId="37" borderId="15" xfId="2" applyFont="1" applyFill="1" applyBorder="1" applyAlignment="1">
      <alignment horizontal="right"/>
    </xf>
    <xf numFmtId="172" fontId="22" fillId="0" borderId="0" xfId="2" applyNumberFormat="1" applyFont="1" applyAlignment="1"/>
    <xf numFmtId="171" fontId="17" fillId="0" borderId="0" xfId="2" quotePrefix="1" applyFont="1" applyAlignment="1">
      <alignment horizontal="left" indent="1"/>
    </xf>
    <xf numFmtId="171" fontId="17" fillId="0" borderId="39" xfId="2" quotePrefix="1" applyFont="1" applyBorder="1" applyAlignment="1">
      <alignment horizontal="left" indent="1"/>
    </xf>
    <xf numFmtId="0" fontId="0" fillId="0" borderId="21" xfId="0" applyBorder="1"/>
    <xf numFmtId="0" fontId="0" fillId="0" borderId="23" xfId="0" applyBorder="1"/>
    <xf numFmtId="0" fontId="12" fillId="0" borderId="21" xfId="0" applyFont="1" applyBorder="1"/>
    <xf numFmtId="0" fontId="12" fillId="0" borderId="23" xfId="0" applyFont="1" applyBorder="1"/>
    <xf numFmtId="0" fontId="0" fillId="0" borderId="20" xfId="0" applyBorder="1"/>
    <xf numFmtId="0" fontId="0" fillId="0" borderId="24" xfId="0" applyBorder="1"/>
    <xf numFmtId="0" fontId="0" fillId="0" borderId="22" xfId="0" applyBorder="1"/>
    <xf numFmtId="0" fontId="14" fillId="0" borderId="0" xfId="8" applyFont="1" applyAlignment="1">
      <alignment wrapText="1"/>
    </xf>
    <xf numFmtId="10" fontId="21" fillId="8" borderId="0" xfId="13" applyNumberFormat="1" applyFont="1" applyFill="1" applyBorder="1"/>
    <xf numFmtId="10" fontId="21" fillId="0" borderId="0" xfId="13" applyNumberFormat="1" applyFont="1" applyBorder="1"/>
    <xf numFmtId="0" fontId="17" fillId="8" borderId="0" xfId="0" applyFont="1" applyFill="1"/>
    <xf numFmtId="0" fontId="21" fillId="8" borderId="11" xfId="3" applyFont="1" applyFill="1" applyBorder="1" applyAlignment="1">
      <alignment vertical="center"/>
    </xf>
    <xf numFmtId="0" fontId="22" fillId="8" borderId="10" xfId="3" applyFont="1" applyFill="1" applyBorder="1" applyAlignment="1">
      <alignment vertical="center"/>
    </xf>
    <xf numFmtId="185" fontId="22" fillId="8" borderId="43" xfId="3" applyNumberFormat="1" applyFont="1" applyFill="1" applyBorder="1" applyAlignment="1">
      <alignment vertical="center"/>
    </xf>
    <xf numFmtId="170" fontId="21" fillId="8" borderId="10" xfId="13" applyFont="1" applyFill="1" applyBorder="1"/>
    <xf numFmtId="185" fontId="22" fillId="8" borderId="16" xfId="3" applyNumberFormat="1" applyFont="1" applyFill="1" applyBorder="1" applyAlignment="1">
      <alignment vertical="center"/>
    </xf>
    <xf numFmtId="3" fontId="22" fillId="8" borderId="10" xfId="3" applyNumberFormat="1" applyFont="1" applyFill="1" applyBorder="1" applyAlignment="1">
      <alignment vertical="center"/>
    </xf>
    <xf numFmtId="3" fontId="22" fillId="8" borderId="43" xfId="3" applyNumberFormat="1" applyFont="1" applyFill="1" applyBorder="1" applyAlignment="1">
      <alignment vertical="center"/>
    </xf>
    <xf numFmtId="185" fontId="22" fillId="8" borderId="11" xfId="3" applyNumberFormat="1" applyFont="1" applyFill="1" applyBorder="1" applyAlignment="1">
      <alignment vertical="center"/>
    </xf>
    <xf numFmtId="185" fontId="22" fillId="8" borderId="10" xfId="3" applyNumberFormat="1" applyFont="1" applyFill="1" applyBorder="1" applyAlignment="1">
      <alignment vertical="center"/>
    </xf>
    <xf numFmtId="3" fontId="21" fillId="0" borderId="0" xfId="3" applyNumberFormat="1" applyFont="1" applyFill="1" applyBorder="1" applyAlignment="1">
      <alignment vertical="center"/>
    </xf>
    <xf numFmtId="4" fontId="14" fillId="0" borderId="4" xfId="13" applyNumberFormat="1" applyFont="1" applyBorder="1"/>
    <xf numFmtId="9" fontId="14" fillId="0" borderId="4" xfId="7" applyFont="1" applyBorder="1"/>
    <xf numFmtId="3" fontId="17" fillId="0" borderId="2" xfId="0" applyNumberFormat="1" applyFont="1" applyBorder="1"/>
    <xf numFmtId="3" fontId="22" fillId="0" borderId="44" xfId="0" applyNumberFormat="1" applyFont="1" applyBorder="1"/>
    <xf numFmtId="3" fontId="22" fillId="0" borderId="42" xfId="0" applyNumberFormat="1" applyFont="1" applyBorder="1"/>
    <xf numFmtId="3" fontId="22" fillId="0" borderId="41" xfId="0" applyNumberFormat="1" applyFont="1" applyBorder="1"/>
    <xf numFmtId="171" fontId="17" fillId="0" borderId="53" xfId="0" applyNumberFormat="1" applyFont="1" applyBorder="1"/>
    <xf numFmtId="171" fontId="17" fillId="0" borderId="53" xfId="2" applyFont="1" applyBorder="1" applyAlignment="1"/>
    <xf numFmtId="171" fontId="14" fillId="0" borderId="53" xfId="2" applyFont="1" applyBorder="1" applyAlignment="1">
      <alignment horizontal="right"/>
    </xf>
    <xf numFmtId="0" fontId="17" fillId="0" borderId="53" xfId="0" applyFont="1" applyBorder="1"/>
    <xf numFmtId="10" fontId="20" fillId="0" borderId="53" xfId="10" applyNumberFormat="1" applyFont="1" applyBorder="1" applyAlignment="1">
      <alignment horizontal="right"/>
    </xf>
    <xf numFmtId="173" fontId="17" fillId="0" borderId="53" xfId="0" applyNumberFormat="1" applyFont="1" applyBorder="1"/>
    <xf numFmtId="171" fontId="22" fillId="0" borderId="53" xfId="0" applyNumberFormat="1" applyFont="1" applyBorder="1"/>
    <xf numFmtId="3" fontId="16" fillId="8" borderId="53" xfId="9" applyNumberFormat="1" applyFont="1" applyFill="1" applyBorder="1" applyProtection="1">
      <protection locked="0"/>
    </xf>
    <xf numFmtId="0" fontId="8" fillId="0" borderId="0" xfId="3" applyFont="1" applyFill="1" applyBorder="1" applyAlignment="1">
      <alignment vertical="center"/>
    </xf>
    <xf numFmtId="10" fontId="8" fillId="0" borderId="0" xfId="7" applyNumberFormat="1" applyFont="1" applyFill="1" applyBorder="1" applyAlignment="1">
      <alignment horizontal="right" vertical="center"/>
    </xf>
    <xf numFmtId="0" fontId="23" fillId="38" borderId="0" xfId="3" applyFont="1" applyFill="1" applyBorder="1" applyAlignment="1">
      <alignment vertical="center"/>
    </xf>
    <xf numFmtId="10" fontId="23" fillId="38" borderId="0" xfId="7" applyNumberFormat="1" applyFont="1" applyFill="1" applyBorder="1" applyAlignment="1">
      <alignment horizontal="right" vertical="center"/>
    </xf>
    <xf numFmtId="4" fontId="16" fillId="0" borderId="0" xfId="9" applyNumberFormat="1" applyFont="1" applyProtection="1">
      <protection locked="0"/>
    </xf>
    <xf numFmtId="2" fontId="14" fillId="0" borderId="0" xfId="8" applyNumberFormat="1" applyFont="1"/>
    <xf numFmtId="2" fontId="14" fillId="0" borderId="9" xfId="8" applyNumberFormat="1" applyFont="1" applyBorder="1"/>
    <xf numFmtId="4" fontId="15" fillId="0" borderId="0" xfId="9" applyNumberFormat="1" applyFont="1" applyProtection="1">
      <protection locked="0"/>
    </xf>
    <xf numFmtId="0" fontId="62" fillId="0" borderId="0" xfId="0" applyFont="1" applyAlignment="1">
      <alignment horizontal="center"/>
    </xf>
    <xf numFmtId="0" fontId="15" fillId="0" borderId="0" xfId="9" quotePrefix="1" applyFont="1" applyProtection="1">
      <protection hidden="1"/>
    </xf>
    <xf numFmtId="0" fontId="2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14" fillId="0" borderId="9" xfId="8" applyNumberFormat="1" applyFont="1" applyBorder="1" applyAlignment="1">
      <alignment horizontal="right"/>
    </xf>
    <xf numFmtId="185" fontId="17" fillId="0" borderId="41" xfId="0" applyNumberFormat="1" applyFont="1" applyBorder="1"/>
    <xf numFmtId="185" fontId="17" fillId="0" borderId="42" xfId="0" applyNumberFormat="1" applyFont="1" applyBorder="1"/>
    <xf numFmtId="187" fontId="17" fillId="0" borderId="0" xfId="0" applyNumberFormat="1" applyFont="1"/>
    <xf numFmtId="188" fontId="14" fillId="0" borderId="0" xfId="2" applyNumberFormat="1" applyFont="1" applyAlignment="1">
      <alignment horizontal="right"/>
    </xf>
    <xf numFmtId="2" fontId="23" fillId="38" borderId="0" xfId="7" applyNumberFormat="1" applyFont="1" applyFill="1" applyBorder="1" applyAlignment="1">
      <alignment horizontal="right" vertical="center"/>
    </xf>
    <xf numFmtId="2" fontId="23" fillId="38" borderId="0" xfId="0" applyNumberFormat="1" applyFont="1" applyFill="1" applyAlignment="1">
      <alignment horizontal="right"/>
    </xf>
    <xf numFmtId="0" fontId="8" fillId="0" borderId="10" xfId="0" applyFont="1" applyBorder="1"/>
    <xf numFmtId="0" fontId="23" fillId="0" borderId="10" xfId="0" applyFont="1" applyBorder="1" applyAlignment="1">
      <alignment horizontal="right"/>
    </xf>
    <xf numFmtId="0" fontId="8" fillId="38" borderId="0" xfId="0" applyFont="1" applyFill="1"/>
    <xf numFmtId="2" fontId="23" fillId="8" borderId="55" xfId="7" applyNumberFormat="1" applyFont="1" applyFill="1" applyBorder="1" applyAlignment="1">
      <alignment horizontal="right"/>
    </xf>
    <xf numFmtId="0" fontId="23" fillId="8" borderId="54" xfId="7" applyNumberFormat="1" applyFont="1" applyFill="1" applyBorder="1" applyAlignment="1">
      <alignment horizontal="right" vertical="center"/>
    </xf>
    <xf numFmtId="172" fontId="21" fillId="0" borderId="0" xfId="2" applyNumberFormat="1" applyFont="1" applyAlignment="1">
      <alignment horizontal="right"/>
    </xf>
    <xf numFmtId="189" fontId="17" fillId="0" borderId="0" xfId="154" applyNumberFormat="1" applyFont="1" applyBorder="1"/>
    <xf numFmtId="189" fontId="17" fillId="0" borderId="0" xfId="154" applyNumberFormat="1" applyFont="1"/>
    <xf numFmtId="1" fontId="17" fillId="0" borderId="0" xfId="0" applyNumberFormat="1" applyFont="1"/>
    <xf numFmtId="1" fontId="17" fillId="0" borderId="4" xfId="0" applyNumberFormat="1" applyFont="1" applyBorder="1"/>
    <xf numFmtId="0" fontId="23" fillId="8" borderId="38" xfId="7" applyNumberFormat="1" applyFont="1" applyFill="1" applyBorder="1" applyAlignment="1">
      <alignment vertical="center"/>
    </xf>
    <xf numFmtId="0" fontId="23" fillId="39" borderId="0" xfId="0" applyFont="1" applyFill="1"/>
    <xf numFmtId="1" fontId="23" fillId="39" borderId="0" xfId="7" applyNumberFormat="1" applyFont="1" applyFill="1" applyBorder="1" applyAlignment="1">
      <alignment horizontal="right"/>
    </xf>
    <xf numFmtId="3" fontId="22" fillId="8" borderId="11" xfId="3" applyNumberFormat="1" applyFont="1" applyFill="1" applyBorder="1" applyAlignment="1">
      <alignment vertical="center"/>
    </xf>
    <xf numFmtId="0" fontId="23" fillId="8" borderId="46" xfId="0" applyFont="1" applyFill="1" applyBorder="1" applyAlignment="1">
      <alignment horizontal="right"/>
    </xf>
    <xf numFmtId="0" fontId="8" fillId="0" borderId="4" xfId="0" applyFont="1" applyBorder="1"/>
    <xf numFmtId="0" fontId="8" fillId="0" borderId="42" xfId="0" applyFont="1" applyBorder="1"/>
    <xf numFmtId="0" fontId="23" fillId="0" borderId="42" xfId="0" applyFont="1" applyBorder="1" applyAlignment="1">
      <alignment horizontal="right"/>
    </xf>
    <xf numFmtId="0" fontId="14" fillId="0" borderId="42" xfId="8" applyFont="1" applyBorder="1"/>
    <xf numFmtId="0" fontId="16" fillId="0" borderId="42" xfId="9" applyFont="1" applyBorder="1" applyProtection="1">
      <protection hidden="1"/>
    </xf>
    <xf numFmtId="0" fontId="15" fillId="0" borderId="42" xfId="9" applyFont="1" applyBorder="1" applyProtection="1">
      <protection hidden="1"/>
    </xf>
    <xf numFmtId="0" fontId="14" fillId="0" borderId="52" xfId="8" applyFont="1" applyBorder="1"/>
    <xf numFmtId="0" fontId="14" fillId="0" borderId="61" xfId="8" applyFont="1" applyBorder="1"/>
    <xf numFmtId="169" fontId="8" fillId="8" borderId="53" xfId="7" applyNumberFormat="1" applyFont="1" applyFill="1" applyBorder="1" applyAlignment="1" applyProtection="1">
      <alignment horizontal="right"/>
      <protection locked="0"/>
    </xf>
    <xf numFmtId="169" fontId="8" fillId="8" borderId="53" xfId="7" applyNumberFormat="1" applyFont="1" applyFill="1" applyBorder="1" applyAlignment="1">
      <alignment horizontal="right"/>
    </xf>
    <xf numFmtId="2" fontId="8" fillId="8" borderId="53" xfId="7" applyNumberFormat="1" applyFont="1" applyFill="1" applyBorder="1" applyAlignment="1">
      <alignment horizontal="right"/>
    </xf>
    <xf numFmtId="1" fontId="8" fillId="8" borderId="53" xfId="7" applyNumberFormat="1" applyFont="1" applyFill="1" applyBorder="1" applyAlignment="1">
      <alignment horizontal="right"/>
    </xf>
    <xf numFmtId="1" fontId="8" fillId="0" borderId="32" xfId="7" applyNumberFormat="1" applyFont="1" applyFill="1" applyBorder="1" applyAlignment="1">
      <alignment horizontal="right"/>
    </xf>
    <xf numFmtId="3" fontId="15" fillId="0" borderId="62" xfId="9" applyNumberFormat="1" applyFont="1" applyBorder="1" applyAlignment="1" applyProtection="1">
      <alignment horizontal="right"/>
      <protection hidden="1"/>
    </xf>
    <xf numFmtId="3" fontId="15" fillId="0" borderId="0" xfId="9" applyNumberFormat="1" applyFont="1" applyAlignment="1" applyProtection="1">
      <alignment horizontal="right"/>
      <protection locked="0"/>
    </xf>
    <xf numFmtId="3" fontId="16" fillId="0" borderId="0" xfId="9" applyNumberFormat="1" applyFont="1" applyAlignment="1" applyProtection="1">
      <alignment horizontal="right"/>
      <protection locked="0"/>
    </xf>
    <xf numFmtId="3" fontId="15" fillId="0" borderId="0" xfId="9" applyNumberFormat="1" applyFont="1" applyAlignment="1" applyProtection="1">
      <alignment horizontal="right"/>
      <protection hidden="1"/>
    </xf>
    <xf numFmtId="0" fontId="15" fillId="0" borderId="0" xfId="9" applyFont="1" applyAlignment="1" applyProtection="1">
      <alignment horizontal="right"/>
      <protection hidden="1"/>
    </xf>
    <xf numFmtId="3" fontId="15" fillId="0" borderId="38" xfId="9" applyNumberFormat="1" applyFont="1" applyBorder="1" applyAlignment="1" applyProtection="1">
      <alignment horizontal="right"/>
      <protection hidden="1"/>
    </xf>
    <xf numFmtId="3" fontId="15" fillId="0" borderId="53" xfId="9" applyNumberFormat="1" applyFont="1" applyBorder="1" applyAlignment="1" applyProtection="1">
      <alignment horizontal="right"/>
      <protection hidden="1"/>
    </xf>
    <xf numFmtId="0" fontId="63" fillId="0" borderId="0" xfId="9" applyFont="1" applyProtection="1">
      <protection hidden="1"/>
    </xf>
    <xf numFmtId="10" fontId="18" fillId="0" borderId="0" xfId="10" applyNumberFormat="1" applyFont="1" applyAlignment="1">
      <alignment horizontal="right"/>
    </xf>
    <xf numFmtId="0" fontId="14" fillId="8" borderId="57" xfId="3" applyFont="1" applyFill="1" applyBorder="1" applyAlignment="1">
      <alignment vertical="center"/>
    </xf>
    <xf numFmtId="0" fontId="17" fillId="8" borderId="58" xfId="3" applyFont="1" applyFill="1" applyBorder="1" applyAlignment="1">
      <alignment vertical="center"/>
    </xf>
    <xf numFmtId="170" fontId="14" fillId="8" borderId="58" xfId="13" applyFont="1" applyFill="1" applyBorder="1"/>
    <xf numFmtId="185" fontId="17" fillId="8" borderId="56" xfId="3" applyNumberFormat="1" applyFont="1" applyFill="1" applyBorder="1" applyAlignment="1">
      <alignment vertical="center"/>
    </xf>
    <xf numFmtId="3" fontId="17" fillId="8" borderId="58" xfId="3" applyNumberFormat="1" applyFont="1" applyFill="1" applyBorder="1" applyAlignment="1">
      <alignment vertical="center"/>
    </xf>
    <xf numFmtId="3" fontId="17" fillId="8" borderId="59" xfId="3" applyNumberFormat="1" applyFont="1" applyFill="1" applyBorder="1" applyAlignment="1">
      <alignment vertical="center"/>
    </xf>
    <xf numFmtId="0" fontId="21" fillId="0" borderId="63" xfId="3" applyFont="1" applyFill="1" applyBorder="1" applyAlignment="1">
      <alignment vertical="center"/>
    </xf>
    <xf numFmtId="0" fontId="17" fillId="0" borderId="39" xfId="0" applyFont="1" applyBorder="1"/>
    <xf numFmtId="10" fontId="21" fillId="0" borderId="39" xfId="13" applyNumberFormat="1" applyFont="1" applyBorder="1"/>
    <xf numFmtId="0" fontId="17" fillId="0" borderId="55" xfId="0" applyFont="1" applyBorder="1"/>
    <xf numFmtId="1" fontId="17" fillId="0" borderId="39" xfId="0" applyNumberFormat="1" applyFont="1" applyBorder="1"/>
    <xf numFmtId="0" fontId="17" fillId="0" borderId="40" xfId="0" applyFont="1" applyBorder="1"/>
    <xf numFmtId="187" fontId="14" fillId="8" borderId="46" xfId="8" applyNumberFormat="1" applyFont="1" applyFill="1" applyBorder="1"/>
    <xf numFmtId="171" fontId="14" fillId="40" borderId="9" xfId="2" applyFont="1" applyFill="1" applyBorder="1" applyAlignment="1"/>
    <xf numFmtId="171" fontId="14" fillId="40" borderId="0" xfId="2" applyFont="1" applyFill="1" applyAlignment="1">
      <alignment horizontal="right"/>
    </xf>
    <xf numFmtId="10" fontId="21" fillId="40" borderId="0" xfId="13" applyNumberFormat="1" applyFont="1" applyFill="1" applyBorder="1"/>
    <xf numFmtId="3" fontId="64" fillId="0" borderId="53" xfId="9" applyNumberFormat="1" applyFont="1" applyBorder="1" applyAlignment="1" applyProtection="1">
      <alignment horizontal="right"/>
      <protection hidden="1"/>
    </xf>
    <xf numFmtId="15" fontId="23" fillId="0" borderId="0" xfId="10" applyNumberFormat="1" applyFont="1" applyFill="1" applyAlignment="1">
      <alignment horizontal="left"/>
    </xf>
    <xf numFmtId="0" fontId="24" fillId="0" borderId="0" xfId="11" applyFont="1" applyFill="1" applyAlignment="1">
      <alignment horizontal="right"/>
    </xf>
    <xf numFmtId="0" fontId="14" fillId="0" borderId="0" xfId="8" applyFont="1" applyFill="1"/>
    <xf numFmtId="15" fontId="25" fillId="0" borderId="0" xfId="10" applyNumberFormat="1" applyFont="1" applyFill="1" applyAlignment="1">
      <alignment horizontal="left"/>
    </xf>
    <xf numFmtId="0" fontId="65" fillId="0" borderId="0" xfId="9" applyFont="1" applyProtection="1">
      <protection hidden="1"/>
    </xf>
    <xf numFmtId="0" fontId="65" fillId="0" borderId="0" xfId="9" quotePrefix="1" applyFont="1" applyAlignment="1" applyProtection="1">
      <alignment horizontal="left" indent="1"/>
      <protection hidden="1"/>
    </xf>
    <xf numFmtId="3" fontId="16" fillId="0" borderId="46" xfId="9" applyNumberFormat="1" applyFont="1" applyBorder="1" applyProtection="1"/>
    <xf numFmtId="168" fontId="22" fillId="8" borderId="47" xfId="4" applyNumberFormat="1" applyFont="1" applyFill="1" applyBorder="1" applyProtection="1">
      <protection locked="0"/>
    </xf>
    <xf numFmtId="0" fontId="65" fillId="0" borderId="0" xfId="9" applyFont="1" applyAlignment="1" applyProtection="1">
      <alignment wrapText="1"/>
      <protection hidden="1"/>
    </xf>
    <xf numFmtId="0" fontId="66" fillId="0" borderId="0" xfId="8" applyFont="1" applyAlignment="1">
      <alignment horizontal="right"/>
    </xf>
    <xf numFmtId="171" fontId="17" fillId="41" borderId="9" xfId="2" applyFont="1" applyFill="1" applyBorder="1" applyAlignment="1">
      <alignment horizontal="left" indent="1"/>
    </xf>
    <xf numFmtId="171" fontId="14" fillId="41" borderId="0" xfId="2" applyFont="1" applyFill="1" applyAlignment="1">
      <alignment horizontal="right"/>
    </xf>
    <xf numFmtId="186" fontId="14" fillId="41" borderId="0" xfId="2" applyNumberFormat="1" applyFont="1" applyFill="1" applyAlignment="1">
      <alignment horizontal="right"/>
    </xf>
    <xf numFmtId="2" fontId="14" fillId="41" borderId="0" xfId="12" applyNumberFormat="1" applyFont="1" applyFill="1" applyAlignment="1">
      <alignment horizontal="right"/>
    </xf>
    <xf numFmtId="4" fontId="14" fillId="41" borderId="0" xfId="13" applyNumberFormat="1" applyFont="1" applyFill="1" applyBorder="1"/>
    <xf numFmtId="4" fontId="14" fillId="41" borderId="5" xfId="13" applyNumberFormat="1" applyFont="1" applyFill="1" applyBorder="1"/>
    <xf numFmtId="3" fontId="17" fillId="41" borderId="9" xfId="0" applyNumberFormat="1" applyFont="1" applyFill="1" applyBorder="1"/>
    <xf numFmtId="1" fontId="23" fillId="42" borderId="46" xfId="7" applyNumberFormat="1" applyFont="1" applyFill="1" applyBorder="1" applyAlignment="1" applyProtection="1">
      <alignment horizontal="right"/>
      <protection locked="0"/>
    </xf>
    <xf numFmtId="191" fontId="23" fillId="42" borderId="46" xfId="0" applyNumberFormat="1" applyFont="1" applyFill="1" applyBorder="1" applyAlignment="1" applyProtection="1">
      <alignment horizontal="right"/>
      <protection locked="0"/>
    </xf>
    <xf numFmtId="1" fontId="23" fillId="42" borderId="46" xfId="7" applyNumberFormat="1" applyFont="1" applyFill="1" applyBorder="1" applyAlignment="1" applyProtection="1">
      <alignment horizontal="right" vertical="center"/>
      <protection locked="0"/>
    </xf>
    <xf numFmtId="0" fontId="23" fillId="42" borderId="60" xfId="7" applyNumberFormat="1" applyFont="1" applyFill="1" applyBorder="1" applyAlignment="1" applyProtection="1">
      <alignment horizontal="right" vertical="center"/>
      <protection locked="0"/>
    </xf>
    <xf numFmtId="3" fontId="16" fillId="42" borderId="46" xfId="9" applyNumberFormat="1" applyFont="1" applyFill="1" applyBorder="1" applyProtection="1">
      <protection locked="0"/>
    </xf>
    <xf numFmtId="4" fontId="16" fillId="42" borderId="46" xfId="9" applyNumberFormat="1" applyFont="1" applyFill="1" applyBorder="1" applyProtection="1">
      <protection locked="0"/>
    </xf>
    <xf numFmtId="3" fontId="16" fillId="42" borderId="53" xfId="9" applyNumberFormat="1" applyFont="1" applyFill="1" applyBorder="1" applyProtection="1">
      <protection locked="0"/>
    </xf>
    <xf numFmtId="3" fontId="64" fillId="42" borderId="53" xfId="9" applyNumberFormat="1" applyFont="1" applyFill="1" applyBorder="1" applyProtection="1">
      <protection locked="0"/>
    </xf>
    <xf numFmtId="4" fontId="14" fillId="0" borderId="9" xfId="8" applyNumberFormat="1" applyFont="1" applyBorder="1" applyAlignment="1">
      <alignment horizontal="right"/>
    </xf>
    <xf numFmtId="169" fontId="23" fillId="42" borderId="46" xfId="0" applyNumberFormat="1" applyFont="1" applyFill="1" applyBorder="1" applyAlignment="1" applyProtection="1">
      <alignment horizontal="right"/>
      <protection locked="0"/>
    </xf>
    <xf numFmtId="190" fontId="23" fillId="42" borderId="46" xfId="0" applyNumberFormat="1" applyFont="1" applyFill="1" applyBorder="1" applyAlignment="1" applyProtection="1">
      <alignment horizontal="right"/>
      <protection locked="0"/>
    </xf>
    <xf numFmtId="9" fontId="23" fillId="42" borderId="53" xfId="7" applyFont="1" applyFill="1" applyBorder="1" applyProtection="1">
      <protection locked="0"/>
    </xf>
    <xf numFmtId="186" fontId="14" fillId="42" borderId="46" xfId="8" applyNumberFormat="1" applyFont="1" applyFill="1" applyBorder="1" applyProtection="1">
      <protection locked="0"/>
    </xf>
    <xf numFmtId="0" fontId="23" fillId="43" borderId="14" xfId="0" applyFont="1" applyFill="1" applyBorder="1" applyAlignment="1" applyProtection="1">
      <alignment horizontal="right" wrapText="1"/>
      <protection locked="0"/>
    </xf>
    <xf numFmtId="0" fontId="23" fillId="43" borderId="40" xfId="0" applyFont="1" applyFill="1" applyBorder="1" applyAlignment="1" applyProtection="1">
      <alignment horizontal="right" wrapText="1"/>
      <protection locked="0"/>
    </xf>
    <xf numFmtId="1" fontId="23" fillId="8" borderId="53" xfId="7" applyNumberFormat="1" applyFont="1" applyFill="1" applyBorder="1" applyAlignment="1" applyProtection="1">
      <alignment horizontal="right"/>
    </xf>
    <xf numFmtId="49" fontId="67" fillId="0" borderId="0" xfId="0" applyNumberFormat="1" applyFont="1"/>
    <xf numFmtId="0" fontId="67" fillId="0" borderId="0" xfId="0" applyFont="1"/>
    <xf numFmtId="49" fontId="25" fillId="42" borderId="0" xfId="10" applyNumberFormat="1" applyFont="1" applyFill="1" applyAlignment="1" applyProtection="1">
      <alignment horizontal="center"/>
      <protection locked="0"/>
    </xf>
    <xf numFmtId="0" fontId="23" fillId="43" borderId="63" xfId="0" applyFont="1" applyFill="1" applyBorder="1" applyAlignment="1" applyProtection="1">
      <alignment horizontal="right" wrapText="1"/>
      <protection locked="0"/>
    </xf>
    <xf numFmtId="0" fontId="23" fillId="43" borderId="39" xfId="0" applyFont="1" applyFill="1" applyBorder="1" applyAlignment="1" applyProtection="1">
      <alignment horizontal="right"/>
      <protection locked="0"/>
    </xf>
    <xf numFmtId="0" fontId="23" fillId="42" borderId="38" xfId="0" applyFont="1" applyFill="1" applyBorder="1" applyAlignment="1" applyProtection="1">
      <alignment horizontal="center"/>
      <protection locked="0"/>
    </xf>
    <xf numFmtId="0" fontId="23" fillId="42" borderId="32" xfId="0" applyFont="1" applyFill="1" applyBorder="1" applyAlignment="1" applyProtection="1">
      <alignment horizontal="center"/>
      <protection locked="0"/>
    </xf>
    <xf numFmtId="0" fontId="23" fillId="42" borderId="54" xfId="0" applyFont="1" applyFill="1" applyBorder="1" applyAlignment="1" applyProtection="1">
      <alignment horizontal="center"/>
      <protection locked="0"/>
    </xf>
    <xf numFmtId="0" fontId="23" fillId="0" borderId="0" xfId="10" applyFont="1" applyFill="1" applyAlignment="1">
      <alignment horizontal="left"/>
    </xf>
    <xf numFmtId="0" fontId="23" fillId="42" borderId="53" xfId="0" applyFont="1" applyFill="1" applyBorder="1" applyAlignment="1" applyProtection="1">
      <alignment horizontal="center"/>
      <protection locked="0"/>
    </xf>
    <xf numFmtId="0" fontId="23" fillId="43" borderId="15" xfId="0" applyFont="1" applyFill="1" applyBorder="1" applyAlignment="1" applyProtection="1">
      <alignment horizontal="right" wrapText="1"/>
      <protection locked="0"/>
    </xf>
    <xf numFmtId="0" fontId="23" fillId="43" borderId="64" xfId="0" applyFont="1" applyFill="1" applyBorder="1" applyAlignment="1" applyProtection="1">
      <alignment horizontal="right"/>
      <protection locked="0"/>
    </xf>
  </cellXfs>
  <cellStyles count="155">
    <cellStyle name="_Data" xfId="20"/>
    <cellStyle name="_Fin" xfId="21"/>
    <cellStyle name="_RES" xfId="22"/>
    <cellStyle name="20% - Akzent1" xfId="23"/>
    <cellStyle name="20% - Akzent2" xfId="24"/>
    <cellStyle name="20% - Akzent3" xfId="25"/>
    <cellStyle name="20% - Akzent4" xfId="26"/>
    <cellStyle name="20% - Akzent5" xfId="27"/>
    <cellStyle name="20% - Akzent6" xfId="28"/>
    <cellStyle name="40% - Akzent1" xfId="29"/>
    <cellStyle name="40% - Akzent2" xfId="30"/>
    <cellStyle name="40% - Akzent3" xfId="31"/>
    <cellStyle name="40% - Akzent4" xfId="32"/>
    <cellStyle name="40% - Akzent5" xfId="33"/>
    <cellStyle name="40% - Akzent6" xfId="34"/>
    <cellStyle name="60% - Akzent1" xfId="35"/>
    <cellStyle name="60% - Akzent2" xfId="36"/>
    <cellStyle name="60% - Akzent3" xfId="37"/>
    <cellStyle name="60% - Akzent4" xfId="38"/>
    <cellStyle name="60% - Akzent5" xfId="39"/>
    <cellStyle name="60% - Akzent6" xfId="40"/>
    <cellStyle name="Assumption" xfId="1"/>
    <cellStyle name="body01" xfId="41"/>
    <cellStyle name="body02" xfId="42"/>
    <cellStyle name="brakcomma" xfId="43"/>
    <cellStyle name="Brand Align Left Text" xfId="44"/>
    <cellStyle name="Brand Default" xfId="2"/>
    <cellStyle name="Brand Percent" xfId="45"/>
    <cellStyle name="Brand Source" xfId="46"/>
    <cellStyle name="Brand Subtitle with Underline" xfId="47"/>
    <cellStyle name="Brand Subtitle without Underline" xfId="48"/>
    <cellStyle name="Brand Title" xfId="49"/>
    <cellStyle name="dana" xfId="50"/>
    <cellStyle name="date" xfId="51"/>
    <cellStyle name="Dziesiętny" xfId="154" builtinId="3"/>
    <cellStyle name="Euro" xfId="52"/>
    <cellStyle name="Euro 2" xfId="53"/>
    <cellStyle name="Explain" xfId="54"/>
    <cellStyle name="Figure" xfId="55"/>
    <cellStyle name="Flag" xfId="15"/>
    <cellStyle name="godina" xfId="56"/>
    <cellStyle name="Header0" xfId="57"/>
    <cellStyle name="Heading1" xfId="16"/>
    <cellStyle name="Heading2" xfId="58"/>
    <cellStyle name="headline01" xfId="59"/>
    <cellStyle name="HSum" xfId="13"/>
    <cellStyle name="Hyperlink_ROM_v11" xfId="18"/>
    <cellStyle name="Index_4" xfId="60"/>
    <cellStyle name="Komma 2" xfId="4"/>
    <cellStyle name="KPMG Heading 1" xfId="61"/>
    <cellStyle name="KPMG Heading 2" xfId="62"/>
    <cellStyle name="KPMG Heading 3" xfId="63"/>
    <cellStyle name="KPMG Heading 4" xfId="64"/>
    <cellStyle name="KPMG Normal" xfId="65"/>
    <cellStyle name="KPMG Normal Text" xfId="66"/>
    <cellStyle name="Nom" xfId="67"/>
    <cellStyle name="Normal 2" xfId="68"/>
    <cellStyle name="Normal 3" xfId="69"/>
    <cellStyle name="Normal 4" xfId="5"/>
    <cellStyle name="Normal_080424_MIP_Standardmodell_Final" xfId="17"/>
    <cellStyle name="Normal_CCGTv106 CHECKED_PWC_Anpass micro optimise5" xfId="6"/>
    <cellStyle name="Normal_Input Invest" xfId="12"/>
    <cellStyle name="Normal_PEGmed Austron v86" xfId="10"/>
    <cellStyle name="Normalny" xfId="0" builtinId="0"/>
    <cellStyle name="Number" xfId="70"/>
    <cellStyle name="Obično_BILANCE PLAN 2002-2004- novo" xfId="71"/>
    <cellStyle name="Offsheet" xfId="72"/>
    <cellStyle name="percnt" xfId="73"/>
    <cellStyle name="Procentowy" xfId="7" builtinId="5"/>
    <cellStyle name="Prozent 2" xfId="74"/>
    <cellStyle name="SAPBEXaggData" xfId="75"/>
    <cellStyle name="SAPBEXaggDataEmph" xfId="76"/>
    <cellStyle name="SAPBEXaggItem" xfId="77"/>
    <cellStyle name="SAPBEXaggItemX" xfId="78"/>
    <cellStyle name="SAPBEXchaText" xfId="79"/>
    <cellStyle name="SAPBEXexcBad7" xfId="80"/>
    <cellStyle name="SAPBEXexcBad8" xfId="81"/>
    <cellStyle name="SAPBEXexcBad9" xfId="82"/>
    <cellStyle name="SAPBEXexcCritical4" xfId="83"/>
    <cellStyle name="SAPBEXexcCritical5" xfId="84"/>
    <cellStyle name="SAPBEXexcCritical6" xfId="85"/>
    <cellStyle name="SAPBEXexcGood1" xfId="86"/>
    <cellStyle name="SAPBEXexcGood2" xfId="87"/>
    <cellStyle name="SAPBEXexcGood3" xfId="88"/>
    <cellStyle name="SAPBEXfilterDrill" xfId="89"/>
    <cellStyle name="SAPBEXfilterItem" xfId="90"/>
    <cellStyle name="SAPBEXfilterText" xfId="91"/>
    <cellStyle name="SAPBEXformats" xfId="92"/>
    <cellStyle name="SAPBEXheaderItem" xfId="93"/>
    <cellStyle name="SAPBEXheaderText" xfId="94"/>
    <cellStyle name="SAPBEXHLevel0" xfId="95"/>
    <cellStyle name="SAPBEXHLevel0X" xfId="96"/>
    <cellStyle name="SAPBEXHLevel1" xfId="97"/>
    <cellStyle name="SAPBEXHLevel1X" xfId="98"/>
    <cellStyle name="SAPBEXHLevel2" xfId="99"/>
    <cellStyle name="SAPBEXHLevel2X" xfId="100"/>
    <cellStyle name="SAPBEXHLevel3" xfId="101"/>
    <cellStyle name="SAPBEXHLevel3X" xfId="102"/>
    <cellStyle name="SAPBEXresData" xfId="103"/>
    <cellStyle name="SAPBEXresDataEmph" xfId="104"/>
    <cellStyle name="SAPBEXresItem" xfId="105"/>
    <cellStyle name="SAPBEXresItemX" xfId="106"/>
    <cellStyle name="SAPBEXstdData" xfId="107"/>
    <cellStyle name="SAPBEXstdDataEmph" xfId="108"/>
    <cellStyle name="SAPBEXstdItem" xfId="109"/>
    <cellStyle name="SAPBEXstdItemX" xfId="110"/>
    <cellStyle name="SAPBEXtitle" xfId="111"/>
    <cellStyle name="SAPBEXundefined" xfId="112"/>
    <cellStyle name="Selection" xfId="113"/>
    <cellStyle name="SEM-BPS-data" xfId="114"/>
    <cellStyle name="SEM-BPS-head" xfId="115"/>
    <cellStyle name="SEM-BPS-headdata" xfId="116"/>
    <cellStyle name="SEM-BPS-headkey" xfId="117"/>
    <cellStyle name="SEM-BPS-input-on" xfId="118"/>
    <cellStyle name="SEM-BPS-key" xfId="119"/>
    <cellStyle name="SEM-BPS-sub1" xfId="120"/>
    <cellStyle name="SEM-BPS-sub2" xfId="121"/>
    <cellStyle name="SEM-BPS-total" xfId="122"/>
    <cellStyle name="SheetHeader1" xfId="11"/>
    <cellStyle name="SheetHeader2" xfId="123"/>
    <cellStyle name="SheetHeader3" xfId="124"/>
    <cellStyle name="Standard 2" xfId="8"/>
    <cellStyle name="Standard 2 2" xfId="125"/>
    <cellStyle name="Standard 3" xfId="19"/>
    <cellStyle name="Standard_Cogen-Maribor" xfId="9"/>
    <cellStyle name="Stil 1" xfId="126"/>
    <cellStyle name="Subtotal" xfId="14"/>
    <cellStyle name="Suma" xfId="3" builtinId="25"/>
    <cellStyle name="swpBody01" xfId="127"/>
    <cellStyle name="swpBodyClean" xfId="128"/>
    <cellStyle name="swpBodyFirstCol" xfId="129"/>
    <cellStyle name="swpCaption" xfId="130"/>
    <cellStyle name="swpClear" xfId="131"/>
    <cellStyle name="swpDatum_english" xfId="132"/>
    <cellStyle name="swpHBBookTitle" xfId="133"/>
    <cellStyle name="swpHBChapterTitle" xfId="134"/>
    <cellStyle name="swpHead01" xfId="135"/>
    <cellStyle name="swpHead01R" xfId="136"/>
    <cellStyle name="swpHead02" xfId="137"/>
    <cellStyle name="swpHead02R" xfId="138"/>
    <cellStyle name="swpHead03" xfId="139"/>
    <cellStyle name="swpHead03R" xfId="140"/>
    <cellStyle name="swpHeadBraL" xfId="141"/>
    <cellStyle name="swpHeadBraM" xfId="142"/>
    <cellStyle name="swpHeadBraR" xfId="143"/>
    <cellStyle name="swpTag" xfId="144"/>
    <cellStyle name="swpTotals" xfId="145"/>
    <cellStyle name="swpTotalsNo" xfId="146"/>
    <cellStyle name="swpTotalsTotal" xfId="147"/>
    <cellStyle name="Text" xfId="148"/>
    <cellStyle name="Tisuce" xfId="149"/>
    <cellStyle name="TopRow" xfId="150"/>
    <cellStyle name="Unit" xfId="151"/>
    <cellStyle name="Zarez_pokazatelji" xfId="152"/>
    <cellStyle name="Обычный_Moscow 20080711 v5" xfId="153"/>
  </cellStyles>
  <dxfs count="9"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</border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EB"/>
      <color rgb="FFFFE9B3"/>
      <color rgb="FFFFFFDD"/>
      <color rgb="FFFEB300"/>
      <color rgb="FFF9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900" baseline="0">
                <a:latin typeface="Arial" pitchFamily="34" charset="0"/>
              </a:rPr>
              <a:t>Dept Service Cover Ratio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7847407407407412E-2"/>
          <c:y val="0.10686637085360169"/>
          <c:w val="0.87423155438903477"/>
          <c:h val="0.76576834529590432"/>
        </c:manualLayout>
      </c:layout>
      <c:lineChart>
        <c:grouping val="standard"/>
        <c:varyColors val="0"/>
        <c:ser>
          <c:idx val="1"/>
          <c:order val="0"/>
          <c:tx>
            <c:strRef>
              <c:f>'PL &amp; Cash Flow'!$B$59</c:f>
              <c:strCache>
                <c:ptCount val="1"/>
                <c:pt idx="0">
                  <c:v>DSCR</c:v>
                </c:pt>
              </c:strCache>
            </c:strRef>
          </c:tx>
          <c:spPr>
            <a:ln>
              <a:solidFill>
                <a:srgbClr val="F9B200"/>
              </a:solidFill>
            </a:ln>
          </c:spPr>
          <c:marker>
            <c:symbol val="none"/>
          </c:marker>
          <c:cat>
            <c:numRef>
              <c:f>[0]!Jahre</c:f>
              <c:numCache>
                <c:formatCode>0</c:formatCode>
                <c:ptCount val="2"/>
                <c:pt idx="0">
                  <c:v>2026</c:v>
                </c:pt>
                <c:pt idx="1">
                  <c:v>2027</c:v>
                </c:pt>
              </c:numCache>
            </c:numRef>
          </c:cat>
          <c:val>
            <c:numRef>
              <c:f>[0]!DSCR</c:f>
              <c:numCache>
                <c:formatCode>#,##0.00</c:formatCode>
                <c:ptCount val="2"/>
                <c:pt idx="0" formatCode="#\ ##0.00;\(#\ ##0.00\);\-">
                  <c:v>0</c:v>
                </c:pt>
                <c:pt idx="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31-44C6-91B9-4036E506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414336"/>
        <c:axId val="466413160"/>
      </c:lineChart>
      <c:catAx>
        <c:axId val="4664143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l-PL"/>
          </a:p>
        </c:txPr>
        <c:crossAx val="466413160"/>
        <c:crosses val="autoZero"/>
        <c:auto val="1"/>
        <c:lblAlgn val="ctr"/>
        <c:lblOffset val="100"/>
        <c:tickLblSkip val="1"/>
        <c:noMultiLvlLbl val="0"/>
      </c:catAx>
      <c:valAx>
        <c:axId val="466413160"/>
        <c:scaling>
          <c:orientation val="minMax"/>
        </c:scaling>
        <c:delete val="0"/>
        <c:axPos val="l"/>
        <c:majorGridlines/>
        <c:numFmt formatCode="#\ ##0.00;\(#\ ##0.00\);\-" sourceLinked="1"/>
        <c:majorTickMark val="out"/>
        <c:minorTickMark val="none"/>
        <c:tickLblPos val="nextTo"/>
        <c:crossAx val="466414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68275704667351"/>
          <c:y val="1.7240712293888804E-2"/>
          <c:w val="0.1658777435429267"/>
          <c:h val="5.9239683491651998E-2"/>
        </c:manualLayout>
      </c:layout>
      <c:overlay val="0"/>
      <c:spPr>
        <a:solidFill>
          <a:srgbClr val="FFFFFF"/>
        </a:solidFill>
      </c:sp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Loan repayment</a:t>
            </a:r>
            <a:r>
              <a:rPr lang="en-US" sz="900" baseline="0"/>
              <a:t> profile </a:t>
            </a:r>
            <a:endParaRPr lang="en-US" sz="900"/>
          </a:p>
        </c:rich>
      </c:tx>
      <c:layout>
        <c:manualLayout>
          <c:xMode val="edge"/>
          <c:yMode val="edge"/>
          <c:x val="0.27366579177602801"/>
          <c:y val="3.4161400014212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606564956080943E-2"/>
          <c:y val="0.12921948656494106"/>
          <c:w val="0.89086737944164107"/>
          <c:h val="0.65899215493114061"/>
        </c:manualLayout>
      </c:layout>
      <c:areaChart>
        <c:grouping val="stacked"/>
        <c:varyColors val="0"/>
        <c:ser>
          <c:idx val="0"/>
          <c:order val="0"/>
          <c:tx>
            <c:strRef>
              <c:f>'PL &amp; Cash Flow'!$B$79</c:f>
              <c:strCache>
                <c:ptCount val="1"/>
                <c:pt idx="0">
                  <c:v>Saldo zadłużenia </c:v>
                </c:pt>
              </c:strCache>
            </c:strRef>
          </c:tx>
          <c:spPr>
            <a:solidFill>
              <a:srgbClr val="F9B200"/>
            </a:solidFill>
            <a:ln w="25400">
              <a:noFill/>
            </a:ln>
          </c:spPr>
          <c:cat>
            <c:numRef>
              <c:f>[0]!Jahre</c:f>
              <c:numCache>
                <c:formatCode>0</c:formatCode>
                <c:ptCount val="2"/>
                <c:pt idx="0">
                  <c:v>2026</c:v>
                </c:pt>
                <c:pt idx="1">
                  <c:v>2027</c:v>
                </c:pt>
              </c:numCache>
            </c:numRef>
          </c:cat>
          <c:val>
            <c:numRef>
              <c:f>[0]!DeptBalance</c:f>
              <c:numCache>
                <c:formatCode>_(* #\ ##0_);_(* \(#\ ##0\);_(* "-"?_);@_)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5A-46D0-98A9-1473D7207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412768"/>
        <c:axId val="466413944"/>
      </c:areaChart>
      <c:catAx>
        <c:axId val="4664127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6413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413944"/>
        <c:scaling>
          <c:orientation val="minMax"/>
        </c:scaling>
        <c:delete val="0"/>
        <c:axPos val="l"/>
        <c:majorGridlines>
          <c:spPr>
            <a:ln w="3175">
              <a:solidFill>
                <a:srgbClr val="CCC5C1"/>
              </a:solidFill>
              <a:prstDash val="sysDash"/>
            </a:ln>
          </c:spPr>
        </c:majorGridlines>
        <c:numFmt formatCode="_(* #\ ##0_);_(* \(#\ ##0\);_(* &quot;-&quot;?_);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64127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4684468789228"/>
          <c:y val="3.5805983739801574E-2"/>
          <c:w val="0.28765820939049286"/>
          <c:h val="5.5900705885920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de-AT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CFADS vs. Debt service</a:t>
            </a:r>
          </a:p>
        </c:rich>
      </c:tx>
      <c:layout>
        <c:manualLayout>
          <c:xMode val="edge"/>
          <c:yMode val="edge"/>
          <c:x val="0.40663952005999249"/>
          <c:y val="3.41614906832298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50828719225726E-2"/>
          <c:y val="0.12921948656494106"/>
          <c:w val="0.86726232674041059"/>
          <c:h val="0.60777552454680805"/>
        </c:manualLayout>
      </c:layout>
      <c:areaChart>
        <c:grouping val="standard"/>
        <c:varyColors val="0"/>
        <c:ser>
          <c:idx val="0"/>
          <c:order val="0"/>
          <c:tx>
            <c:strRef>
              <c:f>'PL &amp; Cash Flow'!$B$75</c:f>
              <c:strCache>
                <c:ptCount val="1"/>
                <c:pt idx="0">
                  <c:v>Operating Cash Flow</c:v>
                </c:pt>
              </c:strCache>
            </c:strRef>
          </c:tx>
          <c:spPr>
            <a:pattFill prst="pct75">
              <a:fgClr>
                <a:srgbClr val="FFD261"/>
              </a:fgClr>
              <a:bgClr>
                <a:srgbClr val="FFFFFF"/>
              </a:bgClr>
            </a:pattFill>
            <a:ln w="12700">
              <a:solidFill>
                <a:srgbClr val="F9B200"/>
              </a:solidFill>
              <a:prstDash val="solid"/>
            </a:ln>
          </c:spPr>
          <c:cat>
            <c:numRef>
              <c:f>[0]!Jahre</c:f>
              <c:numCache>
                <c:formatCode>0</c:formatCode>
                <c:ptCount val="2"/>
                <c:pt idx="0">
                  <c:v>2026</c:v>
                </c:pt>
                <c:pt idx="1">
                  <c:v>2027</c:v>
                </c:pt>
              </c:numCache>
            </c:numRef>
          </c:cat>
          <c:val>
            <c:numRef>
              <c:f>[0]!OperatingCashFlow</c:f>
              <c:numCache>
                <c:formatCode>#,##0</c:formatCode>
                <c:ptCount val="2"/>
                <c:pt idx="0" formatCode="#\ ##0_);\(#\ ##0\)">
                  <c:v>0</c:v>
                </c:pt>
                <c:pt idx="1">
                  <c:v>0.29404996244999998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0C-47CD-9B39-AD5B24574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415120"/>
        <c:axId val="466415512"/>
      </c:areaChart>
      <c:barChart>
        <c:barDir val="col"/>
        <c:grouping val="stacked"/>
        <c:varyColors val="0"/>
        <c:ser>
          <c:idx val="2"/>
          <c:order val="1"/>
          <c:tx>
            <c:strRef>
              <c:f>'PL &amp; Cash Flow'!$B$78</c:f>
              <c:strCache>
                <c:ptCount val="1"/>
                <c:pt idx="0">
                  <c:v> Repayment Dept</c:v>
                </c:pt>
              </c:strCache>
            </c:strRef>
          </c:tx>
          <c:spPr>
            <a:solidFill>
              <a:srgbClr val="000000"/>
            </a:solidFill>
            <a:ln w="3175">
              <a:solidFill>
                <a:srgbClr val="FFD261"/>
              </a:solidFill>
              <a:prstDash val="solid"/>
            </a:ln>
          </c:spPr>
          <c:invertIfNegative val="0"/>
          <c:cat>
            <c:numRef>
              <c:f>'PL &amp; Cash Flow'!$G$13:$AF$13</c:f>
              <c:numCache>
                <c:formatCode>0</c:formatCode>
                <c:ptCount val="2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</c:numCache>
            </c:numRef>
          </c:cat>
          <c:val>
            <c:numRef>
              <c:f>[0]!RepaymentDept</c:f>
              <c:numCache>
                <c:formatCode>_(* #\ ##0.0_);_(* \(#\ ##0.0\);_(* "-"?_);@_)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0C-47CD-9B39-AD5B24574CE7}"/>
            </c:ext>
          </c:extLst>
        </c:ser>
        <c:ser>
          <c:idx val="1"/>
          <c:order val="2"/>
          <c:tx>
            <c:strRef>
              <c:f>'PL &amp; Cash Flow'!$B$77</c:f>
              <c:strCache>
                <c:ptCount val="1"/>
                <c:pt idx="0">
                  <c:v> Interest Payment</c:v>
                </c:pt>
              </c:strCache>
            </c:strRef>
          </c:tx>
          <c:spPr>
            <a:solidFill>
              <a:srgbClr val="CCC5C1"/>
            </a:solidFill>
            <a:ln w="3175">
              <a:solidFill>
                <a:srgbClr val="FFD261"/>
              </a:solidFill>
              <a:prstDash val="solid"/>
            </a:ln>
          </c:spPr>
          <c:invertIfNegative val="0"/>
          <c:cat>
            <c:numRef>
              <c:f>'PL &amp; Cash Flow'!$G$13:$AF$13</c:f>
              <c:numCache>
                <c:formatCode>0</c:formatCode>
                <c:ptCount val="2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</c:numCache>
            </c:numRef>
          </c:cat>
          <c:val>
            <c:numRef>
              <c:f>[0]!InterestPayment</c:f>
              <c:numCache>
                <c:formatCode>_(* #\ ##0.0_);_(* \(#\ ##0.0\);_(* "-"?_);@_)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0C-47CD-9B39-AD5B24574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466415120"/>
        <c:axId val="466415512"/>
      </c:barChart>
      <c:lineChart>
        <c:grouping val="standard"/>
        <c:varyColors val="0"/>
        <c:ser>
          <c:idx val="3"/>
          <c:order val="3"/>
          <c:tx>
            <c:strRef>
              <c:f>'PL &amp; Cash Flow'!$B$76</c:f>
              <c:strCache>
                <c:ptCount val="1"/>
                <c:pt idx="0">
                  <c:v>Cashflow Available to Equity (CFATE)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ln>
                <a:solidFill>
                  <a:srgbClr val="4F81BD"/>
                </a:solidFill>
              </a:ln>
            </c:spPr>
          </c:marker>
          <c:cat>
            <c:numRef>
              <c:f>'PL &amp; Cash Flow'!$G$13:$AF$13</c:f>
              <c:numCache>
                <c:formatCode>0</c:formatCode>
                <c:ptCount val="2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</c:numCache>
            </c:numRef>
          </c:cat>
          <c:val>
            <c:numRef>
              <c:f>[0]!CFATE</c:f>
              <c:numCache>
                <c:formatCode>#,##0</c:formatCode>
                <c:ptCount val="2"/>
                <c:pt idx="0" formatCode="#\ ##0_);\(#\ ##0\)">
                  <c:v>0</c:v>
                </c:pt>
                <c:pt idx="1">
                  <c:v>0.29404996244999998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0C-47CD-9B39-AD5B24574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415120"/>
        <c:axId val="466415512"/>
      </c:lineChart>
      <c:catAx>
        <c:axId val="4664151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6415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415512"/>
        <c:scaling>
          <c:orientation val="minMax"/>
        </c:scaling>
        <c:delete val="0"/>
        <c:axPos val="l"/>
        <c:majorGridlines>
          <c:spPr>
            <a:ln w="3175">
              <a:solidFill>
                <a:srgbClr val="CCC5C1"/>
              </a:solidFill>
              <a:prstDash val="sysDash"/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6415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6212014123155482E-3"/>
          <c:y val="0.88820022954372879"/>
          <c:w val="0.98820834100414146"/>
          <c:h val="0.11053103924766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de-AT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900" baseline="0">
                <a:latin typeface="Arial" pitchFamily="34" charset="0"/>
              </a:rPr>
              <a:t>Pokrycie obsługi długu (</a:t>
            </a:r>
            <a:r>
              <a:rPr lang="en-US" sz="900" baseline="0">
                <a:latin typeface="Arial" pitchFamily="34" charset="0"/>
              </a:rPr>
              <a:t>Dept Service Cover Ratio</a:t>
            </a:r>
            <a:r>
              <a:rPr lang="pl-PL" sz="900" baseline="0">
                <a:latin typeface="Arial" pitchFamily="34" charset="0"/>
              </a:rPr>
              <a:t>)</a:t>
            </a:r>
            <a:endParaRPr lang="en-US" sz="900" baseline="0">
              <a:latin typeface="Arial" pitchFamily="34" charset="0"/>
            </a:endParaRPr>
          </a:p>
        </c:rich>
      </c:tx>
      <c:layout>
        <c:manualLayout>
          <c:xMode val="edge"/>
          <c:yMode val="edge"/>
          <c:x val="0.15966021505376343"/>
          <c:y val="2.41992878041623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8288764629059"/>
          <c:y val="9.9746303210870135E-2"/>
          <c:w val="0.87423155438903477"/>
          <c:h val="0.76576834529590432"/>
        </c:manualLayout>
      </c:layout>
      <c:lineChart>
        <c:grouping val="standard"/>
        <c:varyColors val="0"/>
        <c:ser>
          <c:idx val="1"/>
          <c:order val="0"/>
          <c:tx>
            <c:strRef>
              <c:f>'PL &amp; Cash Flow'!$B$59</c:f>
              <c:strCache>
                <c:ptCount val="1"/>
                <c:pt idx="0">
                  <c:v>DSCR</c:v>
                </c:pt>
              </c:strCache>
            </c:strRef>
          </c:tx>
          <c:spPr>
            <a:ln>
              <a:solidFill>
                <a:srgbClr val="F9B200"/>
              </a:solidFill>
            </a:ln>
          </c:spPr>
          <c:marker>
            <c:symbol val="none"/>
          </c:marker>
          <c:cat>
            <c:numRef>
              <c:f>[0]!Jahre</c:f>
              <c:numCache>
                <c:formatCode>0</c:formatCode>
                <c:ptCount val="2"/>
                <c:pt idx="0">
                  <c:v>2026</c:v>
                </c:pt>
                <c:pt idx="1">
                  <c:v>2027</c:v>
                </c:pt>
              </c:numCache>
            </c:numRef>
          </c:cat>
          <c:val>
            <c:numRef>
              <c:f>[0]!DSCR</c:f>
              <c:numCache>
                <c:formatCode>#,##0.00</c:formatCode>
                <c:ptCount val="2"/>
                <c:pt idx="0" formatCode="#\ ##0.00;\(#\ ##0.00\);\-">
                  <c:v>0</c:v>
                </c:pt>
                <c:pt idx="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C7-4811-A5F5-38AE6DD8B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264872"/>
        <c:axId val="478266832"/>
      </c:lineChart>
      <c:catAx>
        <c:axId val="4782648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l-PL"/>
          </a:p>
        </c:txPr>
        <c:crossAx val="478266832"/>
        <c:crosses val="autoZero"/>
        <c:auto val="1"/>
        <c:lblAlgn val="ctr"/>
        <c:lblOffset val="100"/>
        <c:tickLblSkip val="2"/>
        <c:noMultiLvlLbl val="0"/>
      </c:catAx>
      <c:valAx>
        <c:axId val="478266832"/>
        <c:scaling>
          <c:orientation val="minMax"/>
        </c:scaling>
        <c:delete val="0"/>
        <c:axPos val="l"/>
        <c:majorGridlines/>
        <c:numFmt formatCode="#\ ##0.00;\(#\ ##0.00\);\-" sourceLinked="1"/>
        <c:majorTickMark val="out"/>
        <c:minorTickMark val="none"/>
        <c:tickLblPos val="nextTo"/>
        <c:crossAx val="478264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20394265232977"/>
          <c:y val="1.724056346866621E-2"/>
          <c:w val="0.24781326164874551"/>
          <c:h val="5.9239683491651998E-2"/>
        </c:manualLayout>
      </c:layout>
      <c:overlay val="0"/>
      <c:spPr>
        <a:solidFill>
          <a:srgbClr val="FFFFFF"/>
        </a:solidFill>
      </c:spPr>
    </c:legend>
    <c:plotVisOnly val="1"/>
    <c:dispBlanksAs val="gap"/>
    <c:showDLblsOverMax val="0"/>
  </c:chart>
  <c:spPr>
    <a:ln>
      <a:solidFill>
        <a:srgbClr val="000000"/>
      </a:solidFill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/>
              <a:t>Spłata</a:t>
            </a:r>
            <a:r>
              <a:rPr lang="pl-PL" sz="900" baseline="0"/>
              <a:t> pożyczki</a:t>
            </a:r>
            <a:endParaRPr lang="en-US" sz="900"/>
          </a:p>
        </c:rich>
      </c:tx>
      <c:layout>
        <c:manualLayout>
          <c:xMode val="edge"/>
          <c:yMode val="edge"/>
          <c:x val="7.3379211469534036E-2"/>
          <c:y val="3.41613874930816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606564956080943E-2"/>
          <c:y val="0.12921948656494106"/>
          <c:w val="0.89086737944164107"/>
          <c:h val="0.73535146021007836"/>
        </c:manualLayout>
      </c:layout>
      <c:areaChart>
        <c:grouping val="stacked"/>
        <c:varyColors val="0"/>
        <c:ser>
          <c:idx val="0"/>
          <c:order val="0"/>
          <c:tx>
            <c:strRef>
              <c:f>'PL &amp; Cash Flow'!$B$79</c:f>
              <c:strCache>
                <c:ptCount val="1"/>
                <c:pt idx="0">
                  <c:v>Saldo zadłużenia </c:v>
                </c:pt>
              </c:strCache>
            </c:strRef>
          </c:tx>
          <c:spPr>
            <a:solidFill>
              <a:srgbClr val="F9B200"/>
            </a:solidFill>
            <a:ln w="25400">
              <a:noFill/>
            </a:ln>
          </c:spPr>
          <c:cat>
            <c:numRef>
              <c:f>[0]!Jahre</c:f>
              <c:numCache>
                <c:formatCode>0</c:formatCode>
                <c:ptCount val="2"/>
                <c:pt idx="0">
                  <c:v>2026</c:v>
                </c:pt>
                <c:pt idx="1">
                  <c:v>2027</c:v>
                </c:pt>
              </c:numCache>
            </c:numRef>
          </c:cat>
          <c:val>
            <c:numRef>
              <c:f>[0]!DeptBalance</c:f>
              <c:numCache>
                <c:formatCode>_(* #\ ##0_);_(* \(#\ ##0\);_(* "-"?_);@_)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6D-4B69-BE31-A299CCFE0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266048"/>
        <c:axId val="478267224"/>
      </c:areaChart>
      <c:catAx>
        <c:axId val="4782660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82672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78267224"/>
        <c:scaling>
          <c:orientation val="minMax"/>
        </c:scaling>
        <c:delete val="0"/>
        <c:axPos val="l"/>
        <c:majorGridlines>
          <c:spPr>
            <a:ln w="3175">
              <a:solidFill>
                <a:srgbClr val="CCC5C1"/>
              </a:solidFill>
              <a:prstDash val="sysDash"/>
            </a:ln>
          </c:spPr>
        </c:majorGridlines>
        <c:numFmt formatCode="_(* #\ ##0_);_(* \(#\ ##0\);_(* &quot;-&quot;?_);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82660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532508960573478"/>
          <c:y val="3.5805977040302091E-2"/>
          <c:w val="0.43787311827956987"/>
          <c:h val="5.5900705885920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de-AT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CFADS vs. Debt service</a:t>
            </a:r>
          </a:p>
        </c:rich>
      </c:tx>
      <c:layout>
        <c:manualLayout>
          <c:xMode val="edge"/>
          <c:yMode val="edge"/>
          <c:x val="0.40663952005999249"/>
          <c:y val="3.41614906832298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20240525350138E-2"/>
          <c:y val="0.12921948656494106"/>
          <c:w val="0.9124150964392812"/>
          <c:h val="0.60777552454680805"/>
        </c:manualLayout>
      </c:layout>
      <c:areaChart>
        <c:grouping val="standard"/>
        <c:varyColors val="0"/>
        <c:ser>
          <c:idx val="0"/>
          <c:order val="0"/>
          <c:tx>
            <c:strRef>
              <c:f>'PL &amp; Cash Flow'!$B$75</c:f>
              <c:strCache>
                <c:ptCount val="1"/>
                <c:pt idx="0">
                  <c:v>Operating Cash Flow</c:v>
                </c:pt>
              </c:strCache>
            </c:strRef>
          </c:tx>
          <c:spPr>
            <a:pattFill prst="pct75">
              <a:fgClr>
                <a:srgbClr val="FFD261"/>
              </a:fgClr>
              <a:bgClr>
                <a:srgbClr val="FFFFFF"/>
              </a:bgClr>
            </a:pattFill>
            <a:ln w="12700">
              <a:solidFill>
                <a:srgbClr val="F9B200"/>
              </a:solidFill>
              <a:prstDash val="solid"/>
            </a:ln>
          </c:spPr>
          <c:cat>
            <c:numRef>
              <c:f>[0]!Jahre</c:f>
              <c:numCache>
                <c:formatCode>0</c:formatCode>
                <c:ptCount val="2"/>
                <c:pt idx="0">
                  <c:v>2026</c:v>
                </c:pt>
                <c:pt idx="1">
                  <c:v>2027</c:v>
                </c:pt>
              </c:numCache>
            </c:numRef>
          </c:cat>
          <c:val>
            <c:numRef>
              <c:f>[0]!OperatingCashFlow</c:f>
              <c:numCache>
                <c:formatCode>#,##0</c:formatCode>
                <c:ptCount val="2"/>
                <c:pt idx="0" formatCode="#\ ##0_);\(#\ ##0\)">
                  <c:v>0</c:v>
                </c:pt>
                <c:pt idx="1">
                  <c:v>0.29404996244999998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8F-4F41-8A43-B3851361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893512"/>
        <c:axId val="476895472"/>
      </c:areaChart>
      <c:barChart>
        <c:barDir val="col"/>
        <c:grouping val="stacked"/>
        <c:varyColors val="0"/>
        <c:ser>
          <c:idx val="2"/>
          <c:order val="1"/>
          <c:tx>
            <c:strRef>
              <c:f>'PL &amp; Cash Flow'!$B$78</c:f>
              <c:strCache>
                <c:ptCount val="1"/>
                <c:pt idx="0">
                  <c:v> Repayment Dept</c:v>
                </c:pt>
              </c:strCache>
            </c:strRef>
          </c:tx>
          <c:spPr>
            <a:solidFill>
              <a:srgbClr val="000000"/>
            </a:solidFill>
            <a:ln w="3175">
              <a:solidFill>
                <a:srgbClr val="FFD261"/>
              </a:solidFill>
              <a:prstDash val="solid"/>
            </a:ln>
          </c:spPr>
          <c:invertIfNegative val="0"/>
          <c:cat>
            <c:numRef>
              <c:f>'PL &amp; Cash Flow'!$G$13:$AF$13</c:f>
              <c:numCache>
                <c:formatCode>0</c:formatCode>
                <c:ptCount val="2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</c:numCache>
            </c:numRef>
          </c:cat>
          <c:val>
            <c:numRef>
              <c:f>[0]!RepaymentDept</c:f>
              <c:numCache>
                <c:formatCode>_(* #\ ##0.0_);_(* \(#\ ##0.0\);_(* "-"?_);@_)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8F-4F41-8A43-B38513616629}"/>
            </c:ext>
          </c:extLst>
        </c:ser>
        <c:ser>
          <c:idx val="1"/>
          <c:order val="2"/>
          <c:tx>
            <c:strRef>
              <c:f>'PL &amp; Cash Flow'!$B$77</c:f>
              <c:strCache>
                <c:ptCount val="1"/>
                <c:pt idx="0">
                  <c:v> Interest Payment</c:v>
                </c:pt>
              </c:strCache>
            </c:strRef>
          </c:tx>
          <c:spPr>
            <a:solidFill>
              <a:srgbClr val="CCC5C1"/>
            </a:solidFill>
            <a:ln w="3175">
              <a:solidFill>
                <a:srgbClr val="FFD261"/>
              </a:solidFill>
              <a:prstDash val="solid"/>
            </a:ln>
          </c:spPr>
          <c:invertIfNegative val="0"/>
          <c:cat>
            <c:numRef>
              <c:f>'PL &amp; Cash Flow'!$G$13:$AF$13</c:f>
              <c:numCache>
                <c:formatCode>0</c:formatCode>
                <c:ptCount val="2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</c:numCache>
            </c:numRef>
          </c:cat>
          <c:val>
            <c:numRef>
              <c:f>[0]!InterestPayment</c:f>
              <c:numCache>
                <c:formatCode>_(* #\ ##0.0_);_(* \(#\ ##0.0\);_(* "-"?_);@_)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8F-4F41-8A43-B3851361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476893512"/>
        <c:axId val="476895472"/>
      </c:barChart>
      <c:lineChart>
        <c:grouping val="standard"/>
        <c:varyColors val="0"/>
        <c:ser>
          <c:idx val="3"/>
          <c:order val="3"/>
          <c:tx>
            <c:strRef>
              <c:f>'PL &amp; Cash Flow'!$B$76</c:f>
              <c:strCache>
                <c:ptCount val="1"/>
                <c:pt idx="0">
                  <c:v>Cashflow Available to Equity (CFATE)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ln>
                <a:solidFill>
                  <a:srgbClr val="4F81BD"/>
                </a:solidFill>
              </a:ln>
            </c:spPr>
          </c:marker>
          <c:cat>
            <c:numRef>
              <c:f>'PL &amp; Cash Flow'!$G$13:$AF$13</c:f>
              <c:numCache>
                <c:formatCode>0</c:formatCode>
                <c:ptCount val="2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</c:numCache>
            </c:numRef>
          </c:cat>
          <c:val>
            <c:numRef>
              <c:f>[0]!CFATE</c:f>
              <c:numCache>
                <c:formatCode>#,##0</c:formatCode>
                <c:ptCount val="2"/>
                <c:pt idx="0" formatCode="#\ ##0_);\(#\ ##0\)">
                  <c:v>0</c:v>
                </c:pt>
                <c:pt idx="1">
                  <c:v>0.29404996244999998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68F-4F41-8A43-B3851361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3512"/>
        <c:axId val="476895472"/>
      </c:lineChart>
      <c:catAx>
        <c:axId val="4768935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689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6895472"/>
        <c:scaling>
          <c:orientation val="minMax"/>
        </c:scaling>
        <c:delete val="0"/>
        <c:axPos val="l"/>
        <c:majorGridlines>
          <c:spPr>
            <a:ln w="3175">
              <a:solidFill>
                <a:srgbClr val="CCC5C1"/>
              </a:solidFill>
              <a:prstDash val="sysDash"/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6893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6212014123155482E-3"/>
          <c:y val="0.88820022954372879"/>
          <c:w val="0.98820834100414146"/>
          <c:h val="0.11053103924766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de-AT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3571200</xdr:colOff>
      <xdr:row>16</xdr:row>
      <xdr:rowOff>176443</xdr:rowOff>
    </xdr:to>
    <xdr:graphicFrame macro="">
      <xdr:nvGraphicFramePr>
        <xdr:cNvPr id="2" name="Diagramm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3</xdr:col>
      <xdr:colOff>3571200</xdr:colOff>
      <xdr:row>36</xdr:row>
      <xdr:rowOff>66675</xdr:rowOff>
    </xdr:to>
    <xdr:graphicFrame macro="">
      <xdr:nvGraphicFramePr>
        <xdr:cNvPr id="3" name="Chart 9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36</xdr:row>
      <xdr:rowOff>104775</xdr:rowOff>
    </xdr:from>
    <xdr:to>
      <xdr:col>3</xdr:col>
      <xdr:colOff>3580725</xdr:colOff>
      <xdr:row>54</xdr:row>
      <xdr:rowOff>137492</xdr:rowOff>
    </xdr:to>
    <xdr:graphicFrame macro="">
      <xdr:nvGraphicFramePr>
        <xdr:cNvPr id="4" name="Chart 10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7</xdr:row>
      <xdr:rowOff>67234</xdr:rowOff>
    </xdr:from>
    <xdr:to>
      <xdr:col>4</xdr:col>
      <xdr:colOff>335559</xdr:colOff>
      <xdr:row>24</xdr:row>
      <xdr:rowOff>168828</xdr:rowOff>
    </xdr:to>
    <xdr:graphicFrame macro="">
      <xdr:nvGraphicFramePr>
        <xdr:cNvPr id="6" name="Diagramm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392207</xdr:colOff>
      <xdr:row>7</xdr:row>
      <xdr:rowOff>67235</xdr:rowOff>
    </xdr:from>
    <xdr:to>
      <xdr:col>8</xdr:col>
      <xdr:colOff>44207</xdr:colOff>
      <xdr:row>24</xdr:row>
      <xdr:rowOff>168088</xdr:rowOff>
    </xdr:to>
    <xdr:graphicFrame macro="">
      <xdr:nvGraphicFramePr>
        <xdr:cNvPr id="9" name="Chart 9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89647</xdr:colOff>
      <xdr:row>26</xdr:row>
      <xdr:rowOff>145677</xdr:rowOff>
    </xdr:from>
    <xdr:to>
      <xdr:col>8</xdr:col>
      <xdr:colOff>56030</xdr:colOff>
      <xdr:row>40</xdr:row>
      <xdr:rowOff>58890</xdr:rowOff>
    </xdr:to>
    <xdr:graphicFrame macro="">
      <xdr:nvGraphicFramePr>
        <xdr:cNvPr id="10" name="Chart 10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102"/>
  <sheetViews>
    <sheetView tabSelected="1" view="pageBreakPreview" zoomScaleNormal="100" zoomScaleSheetLayoutView="100" zoomScalePageLayoutView="40" workbookViewId="0">
      <selection activeCell="B3" sqref="B3"/>
    </sheetView>
  </sheetViews>
  <sheetFormatPr defaultColWidth="11.42578125" defaultRowHeight="15" outlineLevelRow="1"/>
  <cols>
    <col min="1" max="2" width="2.5703125" style="1" customWidth="1"/>
    <col min="3" max="3" width="38.7109375" style="1" customWidth="1"/>
    <col min="4" max="4" width="14.42578125" style="1" customWidth="1"/>
    <col min="5" max="5" width="12.140625" style="1" customWidth="1"/>
    <col min="6" max="6" width="12.140625" style="5" customWidth="1"/>
    <col min="7" max="7" width="10.7109375" style="6" customWidth="1"/>
    <col min="8" max="8" width="3" style="6" customWidth="1"/>
    <col min="9" max="16384" width="11.42578125" style="1"/>
  </cols>
  <sheetData>
    <row r="1" spans="1:11" ht="12.75" customHeight="1" thickTop="1">
      <c r="A1" s="156"/>
      <c r="B1" s="157"/>
      <c r="C1" s="157"/>
      <c r="D1" s="157"/>
      <c r="E1" s="157"/>
      <c r="F1" s="158"/>
      <c r="G1" s="168"/>
      <c r="H1" s="169"/>
    </row>
    <row r="2" spans="1:11" s="68" customFormat="1">
      <c r="A2" s="159"/>
      <c r="B2" s="306" t="s">
        <v>152</v>
      </c>
      <c r="C2" s="82"/>
      <c r="D2" s="82"/>
      <c r="E2" s="82"/>
      <c r="F2" s="307"/>
      <c r="G2" s="308"/>
      <c r="H2" s="171"/>
    </row>
    <row r="3" spans="1:11" s="68" customFormat="1">
      <c r="A3" s="159"/>
      <c r="B3" s="306" t="s">
        <v>62</v>
      </c>
      <c r="C3" s="309"/>
      <c r="D3" s="341" t="s">
        <v>108</v>
      </c>
      <c r="E3" s="341"/>
      <c r="F3" s="341"/>
      <c r="G3" s="341"/>
      <c r="H3" s="171"/>
    </row>
    <row r="4" spans="1:11" s="68" customFormat="1">
      <c r="A4" s="159"/>
      <c r="B4" s="347"/>
      <c r="C4" s="347"/>
      <c r="D4" s="347"/>
      <c r="E4" s="347"/>
      <c r="F4" s="347"/>
      <c r="G4" s="308"/>
      <c r="H4" s="171"/>
    </row>
    <row r="5" spans="1:11" s="68" customFormat="1" ht="8.25" customHeight="1">
      <c r="A5" s="159"/>
      <c r="B5" s="71"/>
      <c r="C5" s="72"/>
      <c r="D5" s="72"/>
      <c r="E5" s="72"/>
      <c r="F5" s="84"/>
      <c r="G5" s="6"/>
      <c r="H5" s="171"/>
    </row>
    <row r="6" spans="1:11" s="68" customFormat="1">
      <c r="A6" s="159"/>
      <c r="B6" s="72" t="s">
        <v>63</v>
      </c>
      <c r="D6" s="348" t="s">
        <v>66</v>
      </c>
      <c r="E6" s="348"/>
      <c r="F6" s="348"/>
      <c r="G6" s="6"/>
      <c r="H6" s="171"/>
    </row>
    <row r="7" spans="1:11" s="68" customFormat="1">
      <c r="A7" s="159"/>
      <c r="B7" s="72" t="s">
        <v>64</v>
      </c>
      <c r="D7" s="344" t="s">
        <v>67</v>
      </c>
      <c r="E7" s="345"/>
      <c r="F7" s="346"/>
      <c r="G7" s="6"/>
      <c r="H7" s="171"/>
    </row>
    <row r="8" spans="1:11" hidden="1">
      <c r="A8" s="162"/>
      <c r="B8" s="1" t="s">
        <v>65</v>
      </c>
      <c r="D8" s="336" t="s">
        <v>151</v>
      </c>
      <c r="E8" s="349"/>
      <c r="F8" s="350"/>
      <c r="H8" s="171"/>
    </row>
    <row r="9" spans="1:11" s="68" customFormat="1" ht="12" hidden="1" customHeight="1">
      <c r="A9" s="159"/>
      <c r="B9" s="71"/>
      <c r="C9" s="72"/>
      <c r="D9" s="342"/>
      <c r="E9" s="343"/>
      <c r="F9" s="337"/>
      <c r="G9" s="270"/>
      <c r="H9" s="171"/>
    </row>
    <row r="10" spans="1:11" ht="9" customHeight="1">
      <c r="A10" s="162"/>
      <c r="B10" s="252"/>
      <c r="C10" s="252"/>
      <c r="D10" s="252"/>
      <c r="E10" s="252"/>
      <c r="F10" s="253"/>
      <c r="H10" s="171"/>
    </row>
    <row r="11" spans="1:11">
      <c r="A11" s="162"/>
      <c r="B11" s="74" t="s">
        <v>148</v>
      </c>
      <c r="C11" s="233"/>
      <c r="D11" s="233"/>
      <c r="E11" s="233"/>
      <c r="F11" s="234"/>
      <c r="H11" s="171"/>
    </row>
    <row r="12" spans="1:11" hidden="1">
      <c r="A12" s="162"/>
      <c r="B12" s="254"/>
      <c r="C12" s="235" t="s">
        <v>109</v>
      </c>
      <c r="D12" s="235"/>
      <c r="E12" s="235"/>
      <c r="F12" s="236" t="e">
        <f>'PL &amp; Cash Flow'!F64</f>
        <v>#NUM!</v>
      </c>
      <c r="H12" s="171"/>
    </row>
    <row r="13" spans="1:11">
      <c r="A13" s="162"/>
      <c r="B13" s="254"/>
      <c r="C13" s="235" t="s">
        <v>110</v>
      </c>
      <c r="D13" s="235"/>
      <c r="E13" s="235"/>
      <c r="F13" s="236" t="e">
        <f>'PL &amp; Cash Flow'!F67</f>
        <v>#NUM!</v>
      </c>
      <c r="H13" s="171"/>
    </row>
    <row r="14" spans="1:11" hidden="1">
      <c r="A14" s="162"/>
      <c r="B14" s="254"/>
      <c r="C14" s="235" t="s">
        <v>19</v>
      </c>
      <c r="D14" s="235"/>
      <c r="E14" s="235"/>
      <c r="F14" s="250">
        <f ca="1">'PL &amp; Cash Flow'!C60</f>
        <v>0</v>
      </c>
      <c r="H14" s="171"/>
    </row>
    <row r="15" spans="1:11" hidden="1">
      <c r="A15" s="162"/>
      <c r="B15" s="254"/>
      <c r="C15" s="235" t="s">
        <v>20</v>
      </c>
      <c r="D15" s="235"/>
      <c r="E15" s="235"/>
      <c r="F15" s="251" t="str">
        <f ca="1">'PL &amp; Cash Flow'!C61</f>
        <v/>
      </c>
      <c r="H15" s="171"/>
    </row>
    <row r="16" spans="1:11">
      <c r="A16" s="162"/>
      <c r="B16" s="263"/>
      <c r="C16" s="263" t="s">
        <v>54</v>
      </c>
      <c r="D16" s="263"/>
      <c r="E16" s="263"/>
      <c r="F16" s="264">
        <f ca="1">IFERROR(HLOOKUP(0,'PL &amp; Cash Flow'!H35:AF44,10,FALSE)-YEAR(TODAY()),"not possible")</f>
        <v>1</v>
      </c>
      <c r="H16" s="171"/>
      <c r="I16" s="74"/>
      <c r="J16" s="243"/>
      <c r="K16" s="244"/>
    </row>
    <row r="17" spans="1:11" ht="12" customHeight="1">
      <c r="A17" s="162"/>
      <c r="B17" s="268"/>
      <c r="C17" s="268"/>
      <c r="D17" s="268"/>
      <c r="E17" s="268"/>
      <c r="F17" s="269"/>
      <c r="G17" s="270"/>
      <c r="H17" s="171"/>
    </row>
    <row r="18" spans="1:11" ht="12" customHeight="1">
      <c r="A18" s="162"/>
      <c r="F18" s="73"/>
      <c r="H18" s="171"/>
    </row>
    <row r="19" spans="1:11" s="6" customFormat="1" ht="15" customHeight="1">
      <c r="A19" s="170"/>
      <c r="B19" s="172" t="s">
        <v>69</v>
      </c>
      <c r="C19" s="82"/>
      <c r="D19" s="82"/>
      <c r="H19" s="171"/>
    </row>
    <row r="20" spans="1:11">
      <c r="A20" s="162"/>
      <c r="C20" s="1" t="s">
        <v>68</v>
      </c>
      <c r="E20" s="267"/>
      <c r="F20" s="266" t="s">
        <v>60</v>
      </c>
      <c r="G20" s="94"/>
      <c r="H20" s="171"/>
    </row>
    <row r="21" spans="1:11">
      <c r="A21" s="162"/>
      <c r="C21" s="1" t="s">
        <v>70</v>
      </c>
      <c r="F21" s="332">
        <v>0.19</v>
      </c>
      <c r="G21" s="239"/>
      <c r="H21" s="177"/>
    </row>
    <row r="22" spans="1:11">
      <c r="A22" s="162"/>
      <c r="C22" s="1" t="s">
        <v>135</v>
      </c>
      <c r="F22" s="333">
        <v>0</v>
      </c>
      <c r="G22" s="238"/>
      <c r="H22" s="177"/>
    </row>
    <row r="23" spans="1:11" ht="9.75" customHeight="1">
      <c r="A23" s="162"/>
      <c r="F23" s="73"/>
      <c r="G23" s="239"/>
      <c r="H23" s="177"/>
    </row>
    <row r="24" spans="1:11">
      <c r="A24" s="162"/>
      <c r="C24" s="74" t="s">
        <v>71</v>
      </c>
      <c r="D24" s="74"/>
      <c r="F24" s="323">
        <v>1</v>
      </c>
      <c r="G24" s="238"/>
      <c r="H24" s="178"/>
    </row>
    <row r="25" spans="1:11">
      <c r="A25" s="162"/>
      <c r="C25" s="1" t="s">
        <v>147</v>
      </c>
      <c r="D25" s="74"/>
      <c r="F25" s="338">
        <v>20</v>
      </c>
      <c r="G25" s="94"/>
      <c r="H25" s="171"/>
    </row>
    <row r="26" spans="1:11" s="6" customFormat="1" ht="15.75" customHeight="1">
      <c r="A26" s="170"/>
      <c r="B26" s="172"/>
      <c r="C26" s="91"/>
      <c r="D26" s="281" t="s">
        <v>72</v>
      </c>
      <c r="E26" s="94" t="s">
        <v>73</v>
      </c>
      <c r="F26" s="184"/>
      <c r="H26" s="181"/>
    </row>
    <row r="27" spans="1:11" s="6" customFormat="1" ht="15" customHeight="1">
      <c r="A27" s="170"/>
      <c r="C27" s="287" t="s">
        <v>74</v>
      </c>
      <c r="D27" s="285">
        <f>E71*$F$27</f>
        <v>0</v>
      </c>
      <c r="E27" s="286">
        <f>F71*$F$27</f>
        <v>0</v>
      </c>
      <c r="F27" s="334">
        <v>1</v>
      </c>
      <c r="H27" s="171"/>
    </row>
    <row r="28" spans="1:11" ht="9.75" customHeight="1">
      <c r="A28" s="162"/>
      <c r="C28" s="74"/>
      <c r="D28" s="74"/>
      <c r="F28" s="279"/>
      <c r="G28" s="238"/>
      <c r="H28" s="171"/>
    </row>
    <row r="29" spans="1:11">
      <c r="A29" s="162"/>
      <c r="C29" s="74" t="s">
        <v>75</v>
      </c>
      <c r="D29" s="74"/>
      <c r="F29" s="324">
        <v>8.7799999999999994</v>
      </c>
      <c r="G29" s="239"/>
      <c r="H29" s="178"/>
    </row>
    <row r="30" spans="1:11">
      <c r="A30" s="162"/>
      <c r="C30" s="1" t="s">
        <v>90</v>
      </c>
      <c r="F30" s="79">
        <f>F29/100*(1-$F$21)</f>
        <v>7.1118000000000001E-2</v>
      </c>
      <c r="H30" s="171"/>
    </row>
    <row r="31" spans="1:11" ht="15" customHeight="1">
      <c r="A31" s="162"/>
      <c r="C31" s="1" t="s">
        <v>76</v>
      </c>
      <c r="F31" s="325">
        <f>F24</f>
        <v>1</v>
      </c>
      <c r="H31" s="171"/>
    </row>
    <row r="32" spans="1:11">
      <c r="A32" s="162"/>
      <c r="C32" s="1" t="s">
        <v>77</v>
      </c>
      <c r="F32" s="326">
        <v>1</v>
      </c>
      <c r="H32" s="171"/>
      <c r="I32" s="74"/>
      <c r="J32" s="243"/>
      <c r="K32" s="244"/>
    </row>
    <row r="33" spans="1:11">
      <c r="A33" s="162"/>
      <c r="C33" s="74" t="s">
        <v>79</v>
      </c>
      <c r="E33" s="262"/>
      <c r="F33" s="256" t="s">
        <v>78</v>
      </c>
      <c r="G33" s="173"/>
      <c r="H33" s="180"/>
      <c r="I33" s="74"/>
      <c r="J33" s="243"/>
      <c r="K33" s="243"/>
    </row>
    <row r="34" spans="1:11">
      <c r="A34" s="162"/>
      <c r="C34" s="1" t="s">
        <v>55</v>
      </c>
      <c r="F34" s="255">
        <v>1.25</v>
      </c>
      <c r="G34" s="173"/>
      <c r="H34" s="180"/>
      <c r="I34" s="74"/>
      <c r="J34" s="243"/>
      <c r="K34" s="244"/>
    </row>
    <row r="35" spans="1:11" ht="12" customHeight="1">
      <c r="A35" s="162"/>
      <c r="B35" s="270"/>
      <c r="C35" s="271"/>
      <c r="D35" s="272"/>
      <c r="E35" s="270"/>
      <c r="F35" s="270"/>
      <c r="G35" s="270"/>
      <c r="H35" s="171"/>
      <c r="I35" s="74"/>
      <c r="J35" s="243"/>
      <c r="K35" s="244"/>
    </row>
    <row r="36" spans="1:11" ht="12" customHeight="1">
      <c r="A36" s="162"/>
      <c r="B36" s="129"/>
      <c r="C36" s="131"/>
      <c r="D36" s="127"/>
      <c r="E36" s="129"/>
      <c r="F36" s="129"/>
      <c r="G36" s="129"/>
      <c r="H36" s="171"/>
      <c r="I36" s="74"/>
      <c r="J36" s="243"/>
      <c r="K36" s="244"/>
    </row>
    <row r="37" spans="1:11" s="6" customFormat="1" ht="15" customHeight="1">
      <c r="A37" s="170"/>
      <c r="B37" s="172" t="s">
        <v>84</v>
      </c>
      <c r="C37" s="82"/>
      <c r="D37" s="82"/>
      <c r="E37" s="93"/>
      <c r="H37" s="171"/>
    </row>
    <row r="38" spans="1:11" s="6" customFormat="1" ht="12.75">
      <c r="A38" s="170"/>
      <c r="C38" s="90" t="s">
        <v>80</v>
      </c>
      <c r="D38" s="90" t="s">
        <v>28</v>
      </c>
      <c r="E38" s="328">
        <v>1000</v>
      </c>
      <c r="F38" s="173"/>
      <c r="H38" s="171"/>
    </row>
    <row r="39" spans="1:11" s="6" customFormat="1" ht="12.75" hidden="1">
      <c r="A39" s="170"/>
      <c r="C39" s="90" t="s">
        <v>81</v>
      </c>
      <c r="D39" s="90" t="s">
        <v>48</v>
      </c>
      <c r="E39" s="232">
        <v>0</v>
      </c>
      <c r="F39" s="173"/>
      <c r="H39" s="171"/>
    </row>
    <row r="40" spans="1:11" s="6" customFormat="1" ht="12.75" hidden="1">
      <c r="A40" s="170"/>
      <c r="C40" s="90" t="s">
        <v>82</v>
      </c>
      <c r="D40" s="90" t="s">
        <v>49</v>
      </c>
      <c r="E40" s="232">
        <v>0</v>
      </c>
      <c r="F40" s="173"/>
      <c r="H40" s="171"/>
    </row>
    <row r="41" spans="1:11" s="6" customFormat="1" ht="12.75" hidden="1">
      <c r="A41" s="170"/>
      <c r="C41" s="90" t="s">
        <v>83</v>
      </c>
      <c r="D41" s="90"/>
      <c r="E41" s="240"/>
      <c r="H41" s="171"/>
    </row>
    <row r="42" spans="1:11" s="6" customFormat="1" ht="12.75">
      <c r="A42" s="170"/>
      <c r="C42" s="90"/>
      <c r="D42" s="90"/>
      <c r="E42" s="237"/>
      <c r="F42" s="94" t="s">
        <v>111</v>
      </c>
      <c r="H42" s="171"/>
    </row>
    <row r="43" spans="1:11" s="6" customFormat="1" ht="12.75">
      <c r="A43" s="170"/>
      <c r="C43" s="90" t="s">
        <v>85</v>
      </c>
      <c r="D43" s="90" t="s">
        <v>29</v>
      </c>
      <c r="E43" s="327">
        <v>1</v>
      </c>
      <c r="F43" s="335">
        <v>0.997</v>
      </c>
      <c r="G43" s="173"/>
      <c r="H43" s="171"/>
    </row>
    <row r="44" spans="1:11" s="6" customFormat="1" ht="12.75">
      <c r="A44" s="170"/>
      <c r="C44" s="90" t="s">
        <v>86</v>
      </c>
      <c r="D44" s="90" t="s">
        <v>30</v>
      </c>
      <c r="E44" s="126">
        <f>E38*E43</f>
        <v>1000</v>
      </c>
      <c r="F44" s="175" t="s">
        <v>149</v>
      </c>
      <c r="H44" s="171"/>
    </row>
    <row r="45" spans="1:11" s="6" customFormat="1" ht="12.75" hidden="1">
      <c r="A45" s="170"/>
      <c r="C45" s="91" t="s">
        <v>87</v>
      </c>
      <c r="D45" s="90" t="s">
        <v>134</v>
      </c>
      <c r="E45" s="176"/>
      <c r="F45" s="174"/>
      <c r="H45" s="171"/>
    </row>
    <row r="46" spans="1:11" s="6" customFormat="1">
      <c r="A46" s="170"/>
      <c r="C46" s="91" t="s">
        <v>88</v>
      </c>
      <c r="D46" s="90" t="s">
        <v>134</v>
      </c>
      <c r="E46" s="338">
        <v>36.356999999999999</v>
      </c>
      <c r="F46" s="174">
        <v>1</v>
      </c>
      <c r="H46" s="171"/>
    </row>
    <row r="47" spans="1:11" s="6" customFormat="1" ht="12.75">
      <c r="A47" s="170"/>
      <c r="C47" s="90" t="s">
        <v>89</v>
      </c>
      <c r="D47" s="90" t="s">
        <v>60</v>
      </c>
      <c r="E47" s="126">
        <f>+E44*(E45+E46)/100</f>
        <v>363.57</v>
      </c>
      <c r="F47" s="92"/>
      <c r="H47" s="171"/>
    </row>
    <row r="48" spans="1:11" s="6" customFormat="1" ht="12.75">
      <c r="A48" s="170"/>
      <c r="C48" s="91"/>
      <c r="D48" s="90"/>
      <c r="E48" s="182"/>
      <c r="F48" s="92"/>
      <c r="H48" s="171"/>
    </row>
    <row r="49" spans="1:8" s="6" customFormat="1" ht="12.75">
      <c r="A49" s="170"/>
      <c r="B49" s="129"/>
      <c r="C49" s="131"/>
      <c r="D49" s="127"/>
      <c r="E49" s="132"/>
      <c r="F49" s="189"/>
      <c r="G49" s="129"/>
      <c r="H49" s="171"/>
    </row>
    <row r="50" spans="1:8" s="6" customFormat="1" ht="12.75">
      <c r="A50" s="170"/>
      <c r="B50" s="172" t="s">
        <v>91</v>
      </c>
      <c r="C50" s="310"/>
      <c r="D50" s="90"/>
      <c r="E50" s="94" t="s">
        <v>100</v>
      </c>
      <c r="F50" s="94" t="s">
        <v>73</v>
      </c>
      <c r="G50" s="315" t="s">
        <v>101</v>
      </c>
      <c r="H50" s="171"/>
    </row>
    <row r="51" spans="1:8" s="6" customFormat="1" ht="12.75">
      <c r="A51" s="170"/>
      <c r="B51" s="172"/>
      <c r="C51" s="310" t="s">
        <v>93</v>
      </c>
      <c r="D51" s="90" t="s">
        <v>60</v>
      </c>
      <c r="E51" s="312">
        <f>F51*$E$38/1000</f>
        <v>0</v>
      </c>
      <c r="F51" s="179">
        <f>SUM(F52:F53)</f>
        <v>0</v>
      </c>
      <c r="G51" s="301">
        <f>F46</f>
        <v>1</v>
      </c>
      <c r="H51" s="177"/>
    </row>
    <row r="52" spans="1:8" s="6" customFormat="1" ht="12.75">
      <c r="A52" s="170"/>
      <c r="B52" s="172"/>
      <c r="C52" s="311" t="s">
        <v>92</v>
      </c>
      <c r="D52" s="90" t="s">
        <v>60</v>
      </c>
      <c r="E52" s="327">
        <v>0</v>
      </c>
      <c r="F52" s="313">
        <f>E52/$E$38*1000</f>
        <v>0</v>
      </c>
      <c r="G52" s="188"/>
      <c r="H52" s="177"/>
    </row>
    <row r="53" spans="1:8" s="6" customFormat="1" ht="12.75">
      <c r="A53" s="170"/>
      <c r="B53" s="172"/>
      <c r="C53" s="311" t="s">
        <v>94</v>
      </c>
      <c r="D53" s="90" t="s">
        <v>60</v>
      </c>
      <c r="E53" s="327">
        <v>0</v>
      </c>
      <c r="F53" s="313">
        <f>E53/$E$38*1000</f>
        <v>0</v>
      </c>
      <c r="G53" s="239"/>
      <c r="H53" s="177"/>
    </row>
    <row r="54" spans="1:8" s="6" customFormat="1" ht="12.75">
      <c r="A54" s="170"/>
      <c r="C54" s="91"/>
      <c r="E54" s="187"/>
      <c r="F54" s="183"/>
      <c r="G54" s="238"/>
      <c r="H54" s="178"/>
    </row>
    <row r="55" spans="1:8" s="6" customFormat="1" ht="12.75">
      <c r="A55" s="170"/>
      <c r="C55" s="91"/>
      <c r="E55" s="282" t="s">
        <v>100</v>
      </c>
      <c r="F55" s="94" t="s">
        <v>73</v>
      </c>
      <c r="G55" s="94" t="s">
        <v>102</v>
      </c>
      <c r="H55" s="171"/>
    </row>
    <row r="56" spans="1:8" s="6" customFormat="1" ht="12.75">
      <c r="A56" s="170"/>
      <c r="C56" s="242" t="s">
        <v>95</v>
      </c>
      <c r="D56" s="90" t="s">
        <v>60</v>
      </c>
      <c r="E56" s="327">
        <v>0</v>
      </c>
      <c r="F56" s="313">
        <f>E56/$E$38*1000</f>
        <v>0</v>
      </c>
      <c r="G56" s="301">
        <f>F46</f>
        <v>1</v>
      </c>
      <c r="H56" s="171"/>
    </row>
    <row r="57" spans="1:8" s="6" customFormat="1" ht="12.75">
      <c r="A57" s="170"/>
      <c r="C57" s="91"/>
      <c r="D57" s="90"/>
      <c r="E57" s="182"/>
      <c r="F57" s="183"/>
      <c r="G57" s="188"/>
      <c r="H57" s="178"/>
    </row>
    <row r="58" spans="1:8" s="6" customFormat="1" ht="12.75">
      <c r="A58" s="170"/>
      <c r="B58" s="129"/>
      <c r="C58" s="127"/>
      <c r="D58" s="127"/>
      <c r="E58" s="128"/>
      <c r="F58" s="129"/>
      <c r="G58" s="129"/>
      <c r="H58" s="171"/>
    </row>
    <row r="59" spans="1:8" s="6" customFormat="1" ht="12.75">
      <c r="A59" s="170"/>
      <c r="B59" s="172" t="s">
        <v>96</v>
      </c>
      <c r="C59" s="90"/>
      <c r="D59" s="90"/>
      <c r="E59" s="283" t="s">
        <v>100</v>
      </c>
      <c r="F59" s="94" t="s">
        <v>73</v>
      </c>
      <c r="H59" s="171"/>
    </row>
    <row r="60" spans="1:8" s="6" customFormat="1" ht="14.25" customHeight="1">
      <c r="A60" s="170"/>
      <c r="B60" s="172"/>
      <c r="C60" s="314" t="s">
        <v>98</v>
      </c>
      <c r="D60" s="90" t="s">
        <v>60</v>
      </c>
      <c r="E60" s="329">
        <v>0</v>
      </c>
      <c r="F60" s="186">
        <f>E60/$E$38*1000</f>
        <v>0</v>
      </c>
      <c r="H60" s="171"/>
    </row>
    <row r="61" spans="1:8" s="6" customFormat="1" ht="12.75">
      <c r="A61" s="170"/>
      <c r="C61" s="310" t="s">
        <v>97</v>
      </c>
      <c r="D61" s="90" t="s">
        <v>60</v>
      </c>
      <c r="E61" s="327">
        <v>0</v>
      </c>
      <c r="F61" s="186">
        <f>E61/$E$38*1000</f>
        <v>0</v>
      </c>
      <c r="H61" s="171"/>
    </row>
    <row r="62" spans="1:8" s="6" customFormat="1" ht="12.75">
      <c r="A62" s="170"/>
      <c r="C62" s="91"/>
      <c r="D62" s="90"/>
      <c r="E62" s="88"/>
      <c r="F62" s="130"/>
      <c r="G62" s="173"/>
      <c r="H62" s="180"/>
    </row>
    <row r="63" spans="1:8" s="6" customFormat="1" ht="12.75">
      <c r="A63" s="170"/>
      <c r="C63" s="90"/>
      <c r="D63" s="90"/>
      <c r="E63" s="281" t="s">
        <v>100</v>
      </c>
      <c r="F63" s="94" t="s">
        <v>73</v>
      </c>
      <c r="G63" s="173"/>
      <c r="H63" s="180"/>
    </row>
    <row r="64" spans="1:8" s="6" customFormat="1" ht="25.5">
      <c r="A64" s="170"/>
      <c r="C64" s="91" t="s">
        <v>99</v>
      </c>
      <c r="D64" s="90" t="s">
        <v>60</v>
      </c>
      <c r="E64" s="330">
        <v>0</v>
      </c>
      <c r="F64" s="185">
        <f>E64/E38*1000</f>
        <v>0</v>
      </c>
      <c r="G64" s="205" t="s">
        <v>106</v>
      </c>
      <c r="H64" s="171"/>
    </row>
    <row r="65" spans="1:8" s="6" customFormat="1" ht="12.75">
      <c r="A65" s="170"/>
      <c r="C65" s="91"/>
      <c r="D65" s="90"/>
      <c r="E65" s="88"/>
      <c r="F65" s="130"/>
      <c r="G65" s="173"/>
      <c r="H65" s="180"/>
    </row>
    <row r="66" spans="1:8" s="6" customFormat="1" ht="12.75">
      <c r="A66" s="170"/>
      <c r="C66" s="91" t="s">
        <v>104</v>
      </c>
      <c r="D66" s="90"/>
      <c r="E66" s="284" t="s">
        <v>100</v>
      </c>
      <c r="F66" s="94" t="s">
        <v>31</v>
      </c>
      <c r="H66" s="171"/>
    </row>
    <row r="67" spans="1:8" s="6" customFormat="1" ht="12.75">
      <c r="A67" s="170"/>
      <c r="C67" s="90" t="s">
        <v>103</v>
      </c>
      <c r="D67" s="90" t="s">
        <v>60</v>
      </c>
      <c r="E67" s="327">
        <v>0</v>
      </c>
      <c r="F67" s="331">
        <f>E67/E38*1000</f>
        <v>0</v>
      </c>
      <c r="H67" s="171"/>
    </row>
    <row r="68" spans="1:8" s="6" customFormat="1" ht="12.75">
      <c r="A68" s="170"/>
      <c r="C68" s="90" t="s">
        <v>150</v>
      </c>
      <c r="D68" s="90" t="s">
        <v>60</v>
      </c>
      <c r="E68" s="327">
        <v>0</v>
      </c>
      <c r="F68" s="245">
        <f>E68/E38*1000</f>
        <v>0</v>
      </c>
      <c r="G68" s="173"/>
      <c r="H68" s="180"/>
    </row>
    <row r="69" spans="1:8" s="6" customFormat="1" ht="12.75">
      <c r="A69" s="170"/>
      <c r="C69" s="90"/>
      <c r="D69" s="90"/>
      <c r="E69" s="182"/>
      <c r="F69" s="92"/>
      <c r="G69" s="173"/>
      <c r="H69" s="180"/>
    </row>
    <row r="70" spans="1:8" s="6" customFormat="1" ht="12.75">
      <c r="A70" s="170"/>
      <c r="B70" s="172"/>
      <c r="C70" s="91"/>
      <c r="D70" s="91"/>
      <c r="E70" s="281" t="s">
        <v>100</v>
      </c>
      <c r="F70" s="94" t="s">
        <v>73</v>
      </c>
      <c r="G70" s="184"/>
      <c r="H70" s="181"/>
    </row>
    <row r="71" spans="1:8" s="6" customFormat="1" ht="12.75">
      <c r="A71" s="170"/>
      <c r="C71" s="91" t="s">
        <v>105</v>
      </c>
      <c r="D71" s="90" t="s">
        <v>60</v>
      </c>
      <c r="E71" s="305">
        <f>+E60+E64+E67+E61+E68</f>
        <v>0</v>
      </c>
      <c r="F71" s="190">
        <f>E71/$E$38*1000</f>
        <v>0</v>
      </c>
      <c r="H71" s="171"/>
    </row>
    <row r="72" spans="1:8" s="6" customFormat="1" ht="12.75">
      <c r="A72" s="170"/>
      <c r="B72" s="270"/>
      <c r="C72" s="271"/>
      <c r="D72" s="272"/>
      <c r="E72" s="280"/>
      <c r="F72" s="270"/>
      <c r="G72" s="270"/>
      <c r="H72" s="171"/>
    </row>
    <row r="73" spans="1:8" ht="12" customHeight="1" thickBot="1">
      <c r="A73" s="164"/>
      <c r="B73" s="165"/>
      <c r="C73" s="165"/>
      <c r="D73" s="165"/>
      <c r="E73" s="165"/>
      <c r="F73" s="166"/>
      <c r="G73" s="273"/>
      <c r="H73" s="274"/>
    </row>
    <row r="74" spans="1:8" ht="15.75" thickTop="1">
      <c r="F74" s="1"/>
    </row>
    <row r="75" spans="1:8" hidden="1">
      <c r="B75" s="75" t="s">
        <v>12</v>
      </c>
      <c r="D75" s="75"/>
      <c r="E75" s="75"/>
      <c r="F75" s="76"/>
    </row>
    <row r="76" spans="1:8" ht="15" hidden="1" customHeight="1" outlineLevel="1">
      <c r="C76" s="80" t="s">
        <v>4</v>
      </c>
      <c r="D76" s="80"/>
      <c r="E76" s="2"/>
      <c r="F76" s="275">
        <v>3.5000000000000003E-2</v>
      </c>
    </row>
    <row r="77" spans="1:8" ht="15" hidden="1" customHeight="1" outlineLevel="1">
      <c r="C77" s="80" t="s">
        <v>5</v>
      </c>
      <c r="D77" s="80"/>
      <c r="E77" s="2"/>
      <c r="F77" s="275">
        <v>0.03</v>
      </c>
    </row>
    <row r="78" spans="1:8" ht="15" hidden="1" customHeight="1" outlineLevel="1">
      <c r="C78" s="77" t="s">
        <v>6</v>
      </c>
      <c r="D78" s="77"/>
      <c r="E78" s="77"/>
      <c r="F78" s="78">
        <f>F76+F77</f>
        <v>6.5000000000000002E-2</v>
      </c>
    </row>
    <row r="79" spans="1:8" ht="15" hidden="1" customHeight="1" outlineLevel="1">
      <c r="C79" s="80" t="s">
        <v>7</v>
      </c>
      <c r="D79" s="80"/>
      <c r="E79" s="2"/>
      <c r="F79" s="275">
        <v>0.03</v>
      </c>
    </row>
    <row r="80" spans="1:8" s="3" customFormat="1" ht="15" hidden="1" customHeight="1" outlineLevel="1">
      <c r="C80" s="80" t="s">
        <v>8</v>
      </c>
      <c r="D80" s="80"/>
      <c r="E80" s="2"/>
      <c r="F80" s="275">
        <v>0.5</v>
      </c>
      <c r="G80" s="6"/>
      <c r="H80" s="6"/>
    </row>
    <row r="81" spans="2:6" ht="15" hidden="1" customHeight="1" outlineLevel="1">
      <c r="C81" s="80" t="s">
        <v>9</v>
      </c>
      <c r="D81" s="80"/>
      <c r="E81" s="2"/>
      <c r="F81" s="276">
        <f>1-F80</f>
        <v>0.5</v>
      </c>
    </row>
    <row r="82" spans="2:6" ht="15" hidden="1" customHeight="1" outlineLevel="1">
      <c r="C82" s="80" t="s">
        <v>10</v>
      </c>
      <c r="D82" s="80"/>
      <c r="E82" s="2"/>
      <c r="F82" s="277">
        <v>0.7</v>
      </c>
    </row>
    <row r="83" spans="2:6" ht="15" hidden="1" customHeight="1" outlineLevel="1">
      <c r="C83" s="80" t="s">
        <v>11</v>
      </c>
      <c r="D83" s="80"/>
      <c r="E83" s="2"/>
      <c r="F83" s="163">
        <f>F82*(1+(F81/F80))</f>
        <v>1.4</v>
      </c>
    </row>
    <row r="84" spans="2:6" hidden="1" collapsed="1">
      <c r="C84" s="233" t="s">
        <v>53</v>
      </c>
      <c r="D84" s="233"/>
      <c r="E84" s="233"/>
      <c r="F84" s="234">
        <f>F78+F79*F83</f>
        <v>0.107</v>
      </c>
    </row>
    <row r="85" spans="2:6" hidden="1">
      <c r="C85" s="233" t="s">
        <v>56</v>
      </c>
      <c r="D85" s="233"/>
      <c r="E85" s="233"/>
      <c r="F85" s="234">
        <f>F22/100*F30+(1-F22/100)*F84</f>
        <v>0.107</v>
      </c>
    </row>
    <row r="86" spans="2:6" hidden="1">
      <c r="F86" s="73"/>
    </row>
    <row r="87" spans="2:6" hidden="1">
      <c r="B87" s="74" t="s">
        <v>3</v>
      </c>
      <c r="D87" s="74"/>
      <c r="F87" s="73"/>
    </row>
    <row r="88" spans="2:6" hidden="1">
      <c r="C88" s="81" t="s">
        <v>14</v>
      </c>
      <c r="D88" s="81"/>
      <c r="F88" s="278">
        <v>0</v>
      </c>
    </row>
    <row r="89" spans="2:6" hidden="1">
      <c r="C89" s="81" t="s">
        <v>13</v>
      </c>
      <c r="D89" s="81"/>
      <c r="F89" s="278">
        <v>0</v>
      </c>
    </row>
    <row r="90" spans="2:6" hidden="1"/>
    <row r="91" spans="2:6">
      <c r="F91" s="1"/>
    </row>
    <row r="92" spans="2:6">
      <c r="F92" s="1"/>
    </row>
    <row r="93" spans="2:6">
      <c r="F93" s="1"/>
    </row>
    <row r="94" spans="2:6">
      <c r="F94" s="1"/>
    </row>
    <row r="95" spans="2:6">
      <c r="F95" s="1"/>
    </row>
    <row r="96" spans="2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</sheetData>
  <sheetProtection algorithmName="SHA-512" hashValue="V+GUlBfZZ/5L1OG/6bW1m5cE7H2PbMfwzNkLHjf8ciQipSqiqXUoubonFjyiwtd3ENNHlbeb/h3uEAc35DOh3g==" saltValue="d8XYwZg6hAnDHNZdD7VG2A==" spinCount="100000" sheet="1" objects="1" scenarios="1" formatCells="0" formatColumns="0" formatRows="0" insertColumns="0" insertRows="0" deleteColumns="0" deleteRows="0" sort="0" autoFilter="0" pivotTables="0"/>
  <mergeCells count="6">
    <mergeCell ref="D3:G3"/>
    <mergeCell ref="D9:E9"/>
    <mergeCell ref="D7:F7"/>
    <mergeCell ref="B4:F4"/>
    <mergeCell ref="D6:F6"/>
    <mergeCell ref="E8:F8"/>
  </mergeCells>
  <conditionalFormatting sqref="B16">
    <cfRule type="expression" dxfId="8" priority="5">
      <formula>NOT(F33="Sculpted")</formula>
    </cfRule>
  </conditionalFormatting>
  <conditionalFormatting sqref="C16">
    <cfRule type="expression" dxfId="7" priority="4">
      <formula>NOT(F33="Sculpted")</formula>
    </cfRule>
  </conditionalFormatting>
  <conditionalFormatting sqref="C31">
    <cfRule type="expression" dxfId="6" priority="12">
      <formula>F33="Sculpted"</formula>
    </cfRule>
  </conditionalFormatting>
  <conditionalFormatting sqref="C34">
    <cfRule type="expression" dxfId="5" priority="7">
      <formula>NOT(F33="Sculpted")</formula>
    </cfRule>
  </conditionalFormatting>
  <conditionalFormatting sqref="D16">
    <cfRule type="expression" dxfId="4" priority="3">
      <formula>NOT(F33="Sculpted")</formula>
    </cfRule>
  </conditionalFormatting>
  <conditionalFormatting sqref="E16">
    <cfRule type="expression" dxfId="3" priority="2">
      <formula>NOT(F33="Sculpted")</formula>
    </cfRule>
  </conditionalFormatting>
  <conditionalFormatting sqref="F16">
    <cfRule type="expression" dxfId="2" priority="1">
      <formula>NOT(F33="Sculpted")</formula>
    </cfRule>
  </conditionalFormatting>
  <conditionalFormatting sqref="F31">
    <cfRule type="expression" dxfId="1" priority="11">
      <formula>F33="Sculpted"</formula>
    </cfRule>
  </conditionalFormatting>
  <conditionalFormatting sqref="F34">
    <cfRule type="expression" dxfId="0" priority="6">
      <formula>NOT(F33="Sculpted")</formula>
    </cfRule>
  </conditionalFormatting>
  <dataValidations count="1">
    <dataValidation type="list" allowBlank="1" showInputMessage="1" showErrorMessage="1" sqref="F33">
      <formula1>"Annuity,Equal_Principal,Sculpted"</formula1>
    </dataValidation>
  </dataValidations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E33" sqref="E33"/>
    </sheetView>
  </sheetViews>
  <sheetFormatPr defaultRowHeight="15"/>
  <cols>
    <col min="4" max="4" width="72.85546875" customWidth="1"/>
  </cols>
  <sheetData>
    <row r="1" spans="1:4">
      <c r="A1" s="306" t="s">
        <v>62</v>
      </c>
      <c r="D1" s="339" t="str">
        <f>'Dane inwestycji'!D3:G3</f>
        <v>Firma</v>
      </c>
    </row>
    <row r="2" spans="1:4">
      <c r="A2" s="72" t="s">
        <v>63</v>
      </c>
      <c r="D2" s="340" t="str">
        <f>'Dane inwestycji'!D6:F6</f>
        <v>miejscowość, powiat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2:AP85"/>
  <sheetViews>
    <sheetView view="pageBreakPreview" topLeftCell="A33" zoomScale="115" zoomScaleNormal="55" zoomScaleSheetLayoutView="115" zoomScalePageLayoutView="40" workbookViewId="0">
      <selection activeCell="H44" sqref="H44:AF44"/>
    </sheetView>
  </sheetViews>
  <sheetFormatPr defaultColWidth="11.42578125" defaultRowHeight="12.75" outlineLevelRow="1" outlineLevelCol="1"/>
  <cols>
    <col min="1" max="1" width="2.140625" style="10" customWidth="1"/>
    <col min="2" max="2" width="38.140625" style="10" customWidth="1"/>
    <col min="3" max="3" width="10.140625" style="10" customWidth="1"/>
    <col min="4" max="4" width="10.7109375" style="10" customWidth="1"/>
    <col min="5" max="5" width="8.42578125" style="10" customWidth="1"/>
    <col min="6" max="6" width="11.42578125" style="10" customWidth="1"/>
    <col min="7" max="7" width="12.7109375" style="10" customWidth="1" outlineLevel="1"/>
    <col min="8" max="25" width="10.7109375" style="10" customWidth="1"/>
    <col min="26" max="32" width="10.5703125" style="10" customWidth="1"/>
    <col min="33" max="16384" width="11.42578125" style="10"/>
  </cols>
  <sheetData>
    <row r="2" spans="1:42" ht="15">
      <c r="A2" s="83" t="e">
        <f>'Dane inwestycji'!D6:F6</f>
        <v>#VALUE!</v>
      </c>
      <c r="B2" s="7"/>
      <c r="C2" s="7"/>
      <c r="D2" s="7"/>
      <c r="E2" s="7"/>
      <c r="F2" s="8"/>
      <c r="G2" s="9"/>
      <c r="H2" s="7"/>
      <c r="I2" s="7"/>
      <c r="J2" s="85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</row>
    <row r="3" spans="1:42" ht="15">
      <c r="A3" s="67" t="s">
        <v>107</v>
      </c>
      <c r="B3" s="11"/>
      <c r="C3" s="11"/>
      <c r="D3" s="11"/>
      <c r="E3" s="11"/>
      <c r="F3" s="11"/>
      <c r="G3" s="11"/>
      <c r="H3" s="11"/>
      <c r="I3" s="11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</row>
    <row r="4" spans="1:42" ht="15">
      <c r="A4" s="83" t="str">
        <f>'Dane inwestycji'!D6</f>
        <v>miejscowość, powiat</v>
      </c>
      <c r="B4" s="11"/>
      <c r="C4" s="11"/>
      <c r="D4" s="11"/>
      <c r="E4" s="11"/>
      <c r="F4" s="11"/>
      <c r="G4" s="11"/>
      <c r="H4" s="11"/>
      <c r="I4" s="11"/>
      <c r="J4" s="87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</row>
    <row r="6" spans="1:42">
      <c r="G6" s="191" t="s">
        <v>24</v>
      </c>
      <c r="H6" s="192" t="s">
        <v>23</v>
      </c>
      <c r="J6" s="193"/>
    </row>
    <row r="7" spans="1:42">
      <c r="F7" s="95" t="s">
        <v>26</v>
      </c>
      <c r="G7" s="18">
        <v>0</v>
      </c>
      <c r="H7" s="17">
        <v>1</v>
      </c>
      <c r="I7" s="10">
        <v>2</v>
      </c>
      <c r="J7" s="10">
        <v>3</v>
      </c>
      <c r="K7" s="10">
        <v>4</v>
      </c>
      <c r="L7" s="10">
        <v>5</v>
      </c>
      <c r="M7" s="10">
        <v>6</v>
      </c>
      <c r="N7" s="10">
        <v>7</v>
      </c>
      <c r="O7" s="10">
        <v>8</v>
      </c>
      <c r="P7" s="10">
        <v>9</v>
      </c>
      <c r="Q7" s="10">
        <v>10</v>
      </c>
      <c r="R7" s="10">
        <v>11</v>
      </c>
      <c r="S7" s="10">
        <v>12</v>
      </c>
      <c r="T7" s="10">
        <v>13</v>
      </c>
      <c r="U7" s="10">
        <v>14</v>
      </c>
      <c r="V7" s="10">
        <v>15</v>
      </c>
      <c r="W7" s="10">
        <v>16</v>
      </c>
      <c r="X7" s="10">
        <v>17</v>
      </c>
      <c r="Y7" s="10">
        <v>18</v>
      </c>
      <c r="Z7" s="10">
        <v>19</v>
      </c>
      <c r="AA7" s="10">
        <v>20</v>
      </c>
      <c r="AB7" s="10">
        <v>21</v>
      </c>
      <c r="AC7" s="10">
        <v>22</v>
      </c>
      <c r="AD7" s="10">
        <v>23</v>
      </c>
      <c r="AE7" s="10">
        <v>24</v>
      </c>
      <c r="AF7" s="10">
        <v>25</v>
      </c>
      <c r="AG7" s="10">
        <v>26</v>
      </c>
      <c r="AH7" s="10">
        <v>27</v>
      </c>
      <c r="AI7" s="10">
        <v>28</v>
      </c>
      <c r="AJ7" s="10">
        <v>29</v>
      </c>
      <c r="AK7" s="10">
        <v>30</v>
      </c>
      <c r="AL7" s="10">
        <v>31</v>
      </c>
      <c r="AM7" s="10">
        <v>32</v>
      </c>
      <c r="AN7" s="10">
        <v>33</v>
      </c>
      <c r="AO7" s="10">
        <v>34</v>
      </c>
      <c r="AP7" s="10">
        <v>35</v>
      </c>
    </row>
    <row r="8" spans="1:42">
      <c r="D8" s="248"/>
      <c r="G8" s="18"/>
      <c r="H8" s="17"/>
    </row>
    <row r="9" spans="1:42">
      <c r="B9" s="195" t="s">
        <v>138</v>
      </c>
      <c r="C9" s="19"/>
      <c r="D9" s="19"/>
      <c r="E9" s="19"/>
      <c r="F9" s="20">
        <f>SUM(G9:AP9)</f>
        <v>0</v>
      </c>
      <c r="G9" s="103">
        <f>-'Dane inwestycji'!E71/1000</f>
        <v>0</v>
      </c>
      <c r="H9" s="22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23">
        <v>0</v>
      </c>
      <c r="AO9" s="23">
        <v>0</v>
      </c>
      <c r="AP9" s="23">
        <v>0</v>
      </c>
    </row>
    <row r="10" spans="1:42">
      <c r="B10" s="196" t="s">
        <v>136</v>
      </c>
      <c r="C10" s="24" t="s">
        <v>61</v>
      </c>
      <c r="D10" s="24"/>
      <c r="E10" s="24"/>
      <c r="F10" s="20">
        <f>SUM(G10:AP10)</f>
        <v>0</v>
      </c>
      <c r="G10" s="103">
        <f>$F$9*(1-'Dane inwestycji'!F22/100)</f>
        <v>0</v>
      </c>
      <c r="H10" s="22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</row>
    <row r="11" spans="1:42">
      <c r="B11" s="196" t="s">
        <v>137</v>
      </c>
      <c r="C11" s="24" t="s">
        <v>61</v>
      </c>
      <c r="D11" s="24"/>
      <c r="E11" s="24"/>
      <c r="F11" s="20">
        <f>SUM(G11:AP11)</f>
        <v>0</v>
      </c>
      <c r="G11" s="103">
        <f>$F$9*'Dane inwestycji'!F22/100</f>
        <v>0</v>
      </c>
      <c r="H11" s="22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0</v>
      </c>
      <c r="AN11" s="23">
        <v>0</v>
      </c>
      <c r="AO11" s="23">
        <v>0</v>
      </c>
      <c r="AP11" s="23">
        <v>0</v>
      </c>
    </row>
    <row r="12" spans="1:42">
      <c r="B12" s="197"/>
      <c r="C12" s="24"/>
      <c r="D12" s="24"/>
      <c r="E12" s="24"/>
      <c r="F12" s="20"/>
      <c r="G12" s="103"/>
      <c r="H12" s="22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</row>
    <row r="13" spans="1:42">
      <c r="B13" s="14" t="s">
        <v>15</v>
      </c>
      <c r="C13" s="194"/>
      <c r="D13" s="194"/>
      <c r="E13" s="194"/>
      <c r="F13" s="146" t="s">
        <v>43</v>
      </c>
      <c r="G13" s="16">
        <v>2026</v>
      </c>
      <c r="H13" s="16">
        <v>2027</v>
      </c>
      <c r="I13" s="16">
        <v>2028</v>
      </c>
      <c r="J13" s="16">
        <v>2029</v>
      </c>
      <c r="K13" s="16">
        <v>2030</v>
      </c>
      <c r="L13" s="16">
        <v>2031</v>
      </c>
      <c r="M13" s="16">
        <v>2032</v>
      </c>
      <c r="N13" s="16">
        <v>2033</v>
      </c>
      <c r="O13" s="16">
        <v>2034</v>
      </c>
      <c r="P13" s="16">
        <v>2035</v>
      </c>
      <c r="Q13" s="16">
        <v>2036</v>
      </c>
      <c r="R13" s="16">
        <v>2037</v>
      </c>
      <c r="S13" s="16">
        <v>2038</v>
      </c>
      <c r="T13" s="16">
        <v>2039</v>
      </c>
      <c r="U13" s="16">
        <v>2040</v>
      </c>
      <c r="V13" s="16">
        <v>2041</v>
      </c>
      <c r="W13" s="16">
        <v>2042</v>
      </c>
      <c r="X13" s="16">
        <v>2043</v>
      </c>
      <c r="Y13" s="16">
        <v>2044</v>
      </c>
      <c r="Z13" s="16">
        <v>2045</v>
      </c>
      <c r="AA13" s="16">
        <v>2046</v>
      </c>
      <c r="AB13" s="16">
        <v>2047</v>
      </c>
      <c r="AC13" s="16">
        <v>2048</v>
      </c>
      <c r="AD13" s="16">
        <v>2049</v>
      </c>
      <c r="AE13" s="16">
        <v>2050</v>
      </c>
      <c r="AF13" s="16">
        <v>2051</v>
      </c>
      <c r="AG13" s="16">
        <v>2044</v>
      </c>
      <c r="AH13" s="16">
        <v>2045</v>
      </c>
      <c r="AI13" s="16">
        <v>2046</v>
      </c>
      <c r="AJ13" s="16">
        <v>2047</v>
      </c>
      <c r="AK13" s="16">
        <v>2048</v>
      </c>
      <c r="AL13" s="16">
        <v>2049</v>
      </c>
      <c r="AM13" s="16">
        <v>2050</v>
      </c>
      <c r="AN13" s="16">
        <v>2051</v>
      </c>
      <c r="AO13" s="16">
        <v>2052</v>
      </c>
      <c r="AP13" s="16">
        <v>2053</v>
      </c>
    </row>
    <row r="14" spans="1:42">
      <c r="B14" s="26" t="s">
        <v>112</v>
      </c>
      <c r="C14" s="24"/>
      <c r="D14" s="28" t="s">
        <v>32</v>
      </c>
      <c r="E14" s="29" t="s">
        <v>22</v>
      </c>
      <c r="G14" s="18"/>
      <c r="H14" s="17"/>
      <c r="AP14" s="134"/>
    </row>
    <row r="15" spans="1:42">
      <c r="B15" s="27" t="s">
        <v>113</v>
      </c>
      <c r="C15" s="24" t="s">
        <v>0</v>
      </c>
      <c r="D15" s="144">
        <f>'Dane inwestycji'!F43</f>
        <v>0.997</v>
      </c>
      <c r="E15" s="145">
        <f>'Dane inwestycji'!E44/1000</f>
        <v>1</v>
      </c>
      <c r="F15" s="20">
        <f>SUM(H15:AP15)</f>
        <v>0.99849999999999994</v>
      </c>
      <c r="G15" s="21">
        <v>0</v>
      </c>
      <c r="H15" s="23">
        <f>IF('PL &amp; Cash Flow'!H7&gt;'Dane inwestycji'!$F$24,0,($E$15*$D$15^G7+$E$15*$D$15^H7)/2)</f>
        <v>0.99849999999999994</v>
      </c>
      <c r="I15" s="23">
        <f>IF('PL &amp; Cash Flow'!I7&gt;'Dane inwestycji'!$F$24,0,($E$15*$D$15^H7+$E$15*$D$15^I7)/2)</f>
        <v>0</v>
      </c>
      <c r="J15" s="23">
        <f>IF('PL &amp; Cash Flow'!J7&gt;'Dane inwestycji'!$F$24,0,($E$15*$D$15^I7+$E$15*$D$15^J7)/2)</f>
        <v>0</v>
      </c>
      <c r="K15" s="23">
        <f>IF('PL &amp; Cash Flow'!K7&gt;'Dane inwestycji'!$F$24,0,($E$15*$D$15^J7+$E$15*$D$15^K7)/2)</f>
        <v>0</v>
      </c>
      <c r="L15" s="23">
        <f>IF('PL &amp; Cash Flow'!L7&gt;'Dane inwestycji'!$F$24,0,($E$15*$D$15^K7+$E$15*$D$15^L7)/2)</f>
        <v>0</v>
      </c>
      <c r="M15" s="23">
        <f>IF('PL &amp; Cash Flow'!M7&gt;'Dane inwestycji'!$F$24,0,($E$15*$D$15^L7+$E$15*$D$15^M7)/2)</f>
        <v>0</v>
      </c>
      <c r="N15" s="23">
        <f>IF('PL &amp; Cash Flow'!N7&gt;'Dane inwestycji'!$F$24,0,($E$15*$D$15^M7+$E$15*$D$15^N7)/2)</f>
        <v>0</v>
      </c>
      <c r="O15" s="23">
        <f>IF('PL &amp; Cash Flow'!O7&gt;'Dane inwestycji'!$F$24,0,($E$15*$D$15^N7+$E$15*$D$15^O7)/2)</f>
        <v>0</v>
      </c>
      <c r="P15" s="23">
        <f>IF('PL &amp; Cash Flow'!P7&gt;'Dane inwestycji'!$F$24,0,($E$15*$D$15^O7+$E$15*$D$15^P7)/2)</f>
        <v>0</v>
      </c>
      <c r="Q15" s="23">
        <f>IF('PL &amp; Cash Flow'!Q7&gt;'Dane inwestycji'!$F$24,0,($E$15*$D$15^P7+$E$15*$D$15^Q7)/2)</f>
        <v>0</v>
      </c>
      <c r="R15" s="23">
        <f>IF('PL &amp; Cash Flow'!R7&gt;'Dane inwestycji'!$F$24,0,($E$15*$D$15^Q7+$E$15*$D$15^R7)/2)</f>
        <v>0</v>
      </c>
      <c r="S15" s="23">
        <f>IF('PL &amp; Cash Flow'!S7&gt;'Dane inwestycji'!$F$24,0,($E$15*$D$15^R7+$E$15*$D$15^S7)/2)</f>
        <v>0</v>
      </c>
      <c r="T15" s="23">
        <f>IF('PL &amp; Cash Flow'!T7&gt;'Dane inwestycji'!$F$24,0,($E$15*$D$15^S7+$E$15*$D$15^T7)/2)</f>
        <v>0</v>
      </c>
      <c r="U15" s="23">
        <f>IF('PL &amp; Cash Flow'!U7&gt;'Dane inwestycji'!$F$24,0,($E$15*$D$15^T7+$E$15*$D$15^U7)/2)</f>
        <v>0</v>
      </c>
      <c r="V15" s="23">
        <f>IF('PL &amp; Cash Flow'!V7&gt;'Dane inwestycji'!$F$24,0,($E$15*$D$15^U7+$E$15*$D$15^V7)/2)</f>
        <v>0</v>
      </c>
      <c r="W15" s="23">
        <f>IF('PL &amp; Cash Flow'!W7&gt;'Dane inwestycji'!$F$24,0,($E$15*$D$15^V7+$E$15*$D$15^W7)/2)</f>
        <v>0</v>
      </c>
      <c r="X15" s="23">
        <f>IF('PL &amp; Cash Flow'!X7&gt;'Dane inwestycji'!$F$24,0,($E$15*$D$15^W7+$E$15*$D$15^X7)/2)</f>
        <v>0</v>
      </c>
      <c r="Y15" s="23">
        <f>IF('PL &amp; Cash Flow'!Y7&gt;'Dane inwestycji'!$F$24,0,($E$15*$D$15^X7+$E$15*$D$15^Y7)/2)</f>
        <v>0</v>
      </c>
      <c r="Z15" s="23">
        <f>IF('PL &amp; Cash Flow'!Z7&gt;'Dane inwestycji'!$F$24,0,($E$15*$D$15^Y7+$E$15*$D$15^Z7)/2)</f>
        <v>0</v>
      </c>
      <c r="AA15" s="23">
        <f>IF('PL &amp; Cash Flow'!AA7&gt;'Dane inwestycji'!$F$24,0,($E$15*$D$15^Z7+$E$15*$D$15^AA7)/2)</f>
        <v>0</v>
      </c>
      <c r="AB15" s="23">
        <f>IF('PL &amp; Cash Flow'!AB7&gt;'Dane inwestycji'!$F$24,0,($E$15*$D$15^AA7+$E$15*$D$15^AB7)/2)</f>
        <v>0</v>
      </c>
      <c r="AC15" s="23">
        <f>IF('PL &amp; Cash Flow'!AC7&gt;'Dane inwestycji'!$F$24,0,($E$15*$D$15^AB7+$E$15*$D$15^AC7)/2)</f>
        <v>0</v>
      </c>
      <c r="AD15" s="23">
        <f>IF('PL &amp; Cash Flow'!AD7&gt;'Dane inwestycji'!$F$24,0,($E$15*$D$15^AC7+$E$15*$D$15^AD7)/2)</f>
        <v>0</v>
      </c>
      <c r="AE15" s="23">
        <f>IF('PL &amp; Cash Flow'!AE7&gt;'Dane inwestycji'!$F$24,0,($E$15*$D$15^AD7+$E$15*$D$15^AE7)/2)</f>
        <v>0</v>
      </c>
      <c r="AF15" s="23">
        <f>IF('PL &amp; Cash Flow'!AF7&gt;'Dane inwestycji'!$F$24,0,($E$15*$D$15^AE7+$E$15*$D$15^AF7)/2)</f>
        <v>0</v>
      </c>
      <c r="AG15" s="23">
        <f>IF('PL &amp; Cash Flow'!AG7&gt;'Dane inwestycji'!$F$24,0,($E$15*$D$15^AF7+$E$15*$D$15^AG7)/2)</f>
        <v>0</v>
      </c>
      <c r="AH15" s="23">
        <f>IF('PL &amp; Cash Flow'!AH7&gt;'Dane inwestycji'!$F$24,0,($E$15*$D$15^AG7+$E$15*$D$15^AH7)/2)</f>
        <v>0</v>
      </c>
      <c r="AI15" s="23">
        <f>IF('PL &amp; Cash Flow'!AI7&gt;'Dane inwestycji'!$F$24,0,($E$15*$D$15^AH7+$E$15*$D$15^AI7)/2)</f>
        <v>0</v>
      </c>
      <c r="AJ15" s="23">
        <f>IF('PL &amp; Cash Flow'!AJ7&gt;'Dane inwestycji'!$F$24,0,($E$15*$D$15^AI7+$E$15*$D$15^AJ7)/2)</f>
        <v>0</v>
      </c>
      <c r="AK15" s="23">
        <f>IF('PL &amp; Cash Flow'!AK7&gt;'Dane inwestycji'!$F$24,0,($E$15*$D$15^AJ7+$E$15*$D$15^AK7)/2)</f>
        <v>0</v>
      </c>
      <c r="AL15" s="23">
        <f>IF('PL &amp; Cash Flow'!AL7&gt;'Dane inwestycji'!$F$24,0,($E$15*$D$15^AK7+$E$15*$D$15^AL7)/2)</f>
        <v>0</v>
      </c>
      <c r="AM15" s="23">
        <f>IF('PL &amp; Cash Flow'!AM7&gt;'Dane inwestycji'!$F$24,0,($E$15*$D$15^AL7+$E$15*$D$15^AM7)/2)</f>
        <v>0</v>
      </c>
      <c r="AN15" s="23">
        <f>IF('PL &amp; Cash Flow'!AN7&gt;'Dane inwestycji'!$F$24,0,($E$15*$D$15^AM7+$E$15*$D$15^AN7)/2)</f>
        <v>0</v>
      </c>
      <c r="AO15" s="23">
        <f>IF('PL &amp; Cash Flow'!AO7&gt;'Dane inwestycji'!$F$24,0,($E$15*$D$15^AN7+$E$15*$D$15^AO7)/2)</f>
        <v>0</v>
      </c>
      <c r="AP15" s="135">
        <f>IF('PL &amp; Cash Flow'!AP7&gt;'Dane inwestycji'!$F$24,0,($E$15*$D$15^AO7+$E$15*$D$15^AP7)/2)</f>
        <v>0</v>
      </c>
    </row>
    <row r="16" spans="1:42">
      <c r="B16" s="316"/>
      <c r="C16" s="317"/>
      <c r="D16" s="318"/>
      <c r="E16" s="319"/>
      <c r="F16" s="320"/>
      <c r="G16" s="321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219"/>
    </row>
    <row r="17" spans="2:42">
      <c r="B17" s="27" t="s">
        <v>139</v>
      </c>
      <c r="C17" s="24" t="s">
        <v>134</v>
      </c>
      <c r="D17" s="144">
        <f>'Dane inwestycji'!F46</f>
        <v>1</v>
      </c>
      <c r="E17" s="124">
        <f>'Dane inwestycji'!E46</f>
        <v>36.356999999999999</v>
      </c>
      <c r="F17" s="30"/>
      <c r="G17" s="31"/>
      <c r="H17" s="30">
        <f>$E$17*$D$17^G7</f>
        <v>36.356999999999999</v>
      </c>
      <c r="I17" s="30">
        <f t="shared" ref="I17:V17" si="0">$E$17*$D$17^H7</f>
        <v>36.356999999999999</v>
      </c>
      <c r="J17" s="30">
        <f t="shared" si="0"/>
        <v>36.356999999999999</v>
      </c>
      <c r="K17" s="30">
        <f t="shared" si="0"/>
        <v>36.356999999999999</v>
      </c>
      <c r="L17" s="30">
        <f t="shared" si="0"/>
        <v>36.356999999999999</v>
      </c>
      <c r="M17" s="30">
        <f t="shared" si="0"/>
        <v>36.356999999999999</v>
      </c>
      <c r="N17" s="30">
        <f t="shared" si="0"/>
        <v>36.356999999999999</v>
      </c>
      <c r="O17" s="30">
        <f t="shared" si="0"/>
        <v>36.356999999999999</v>
      </c>
      <c r="P17" s="30">
        <f t="shared" si="0"/>
        <v>36.356999999999999</v>
      </c>
      <c r="Q17" s="30">
        <f t="shared" si="0"/>
        <v>36.356999999999999</v>
      </c>
      <c r="R17" s="30">
        <f t="shared" si="0"/>
        <v>36.356999999999999</v>
      </c>
      <c r="S17" s="30">
        <f t="shared" si="0"/>
        <v>36.356999999999999</v>
      </c>
      <c r="T17" s="30">
        <f t="shared" si="0"/>
        <v>36.356999999999999</v>
      </c>
      <c r="U17" s="30">
        <f t="shared" si="0"/>
        <v>36.356999999999999</v>
      </c>
      <c r="V17" s="30">
        <f t="shared" si="0"/>
        <v>36.356999999999999</v>
      </c>
      <c r="W17" s="30">
        <f>6*4.2</f>
        <v>25.200000000000003</v>
      </c>
      <c r="X17" s="30">
        <f>W17*'Dane inwestycji'!$F$46</f>
        <v>25.200000000000003</v>
      </c>
      <c r="Y17" s="30">
        <f>X17*'Dane inwestycji'!$F$46</f>
        <v>25.200000000000003</v>
      </c>
      <c r="Z17" s="30">
        <f>Y17*'Dane inwestycji'!$F$46</f>
        <v>25.200000000000003</v>
      </c>
      <c r="AA17" s="30">
        <f>Z17*'Dane inwestycji'!$F$46</f>
        <v>25.200000000000003</v>
      </c>
      <c r="AB17" s="30">
        <f>AA17*'Dane inwestycji'!$F$46</f>
        <v>25.200000000000003</v>
      </c>
      <c r="AC17" s="30">
        <f>AB17*'Dane inwestycji'!$F$46</f>
        <v>25.200000000000003</v>
      </c>
      <c r="AD17" s="30">
        <f>AC17*'Dane inwestycji'!$F$46</f>
        <v>25.200000000000003</v>
      </c>
      <c r="AE17" s="30">
        <f>AD17*'Dane inwestycji'!$F$46</f>
        <v>25.200000000000003</v>
      </c>
      <c r="AF17" s="30">
        <f>AE17*'Dane inwestycji'!$F$46</f>
        <v>25.200000000000003</v>
      </c>
      <c r="AG17" s="30">
        <f t="shared" ref="AG17:AP17" si="1">$E$17*$D$17^AF7</f>
        <v>36.356999999999999</v>
      </c>
      <c r="AH17" s="30">
        <f t="shared" si="1"/>
        <v>36.356999999999999</v>
      </c>
      <c r="AI17" s="30">
        <f t="shared" si="1"/>
        <v>36.356999999999999</v>
      </c>
      <c r="AJ17" s="30">
        <f t="shared" si="1"/>
        <v>36.356999999999999</v>
      </c>
      <c r="AK17" s="30">
        <f t="shared" si="1"/>
        <v>36.356999999999999</v>
      </c>
      <c r="AL17" s="30">
        <f t="shared" si="1"/>
        <v>36.356999999999999</v>
      </c>
      <c r="AM17" s="30">
        <f t="shared" si="1"/>
        <v>36.356999999999999</v>
      </c>
      <c r="AN17" s="30">
        <f t="shared" si="1"/>
        <v>36.356999999999999</v>
      </c>
      <c r="AO17" s="30">
        <f t="shared" si="1"/>
        <v>36.356999999999999</v>
      </c>
      <c r="AP17" s="219">
        <f t="shared" si="1"/>
        <v>36.356999999999999</v>
      </c>
    </row>
    <row r="18" spans="2:42">
      <c r="B18" s="99" t="s">
        <v>114</v>
      </c>
      <c r="C18" s="96" t="s">
        <v>61</v>
      </c>
      <c r="D18" s="133"/>
      <c r="E18" s="100"/>
      <c r="F18" s="101">
        <f>SUM(H18:AP18)</f>
        <v>0.36302464499999998</v>
      </c>
      <c r="G18" s="102">
        <f>G15*G16</f>
        <v>0</v>
      </c>
      <c r="H18" s="222">
        <f t="shared" ref="H18:AA18" si="2">H15*(H16+H17)*10/1000</f>
        <v>0.36302464499999998</v>
      </c>
      <c r="I18" s="223">
        <f t="shared" si="2"/>
        <v>0</v>
      </c>
      <c r="J18" s="223">
        <f t="shared" si="2"/>
        <v>0</v>
      </c>
      <c r="K18" s="223">
        <f t="shared" si="2"/>
        <v>0</v>
      </c>
      <c r="L18" s="223">
        <f t="shared" si="2"/>
        <v>0</v>
      </c>
      <c r="M18" s="223">
        <f t="shared" si="2"/>
        <v>0</v>
      </c>
      <c r="N18" s="223">
        <f t="shared" si="2"/>
        <v>0</v>
      </c>
      <c r="O18" s="223">
        <f t="shared" si="2"/>
        <v>0</v>
      </c>
      <c r="P18" s="223">
        <f t="shared" si="2"/>
        <v>0</v>
      </c>
      <c r="Q18" s="223">
        <f t="shared" si="2"/>
        <v>0</v>
      </c>
      <c r="R18" s="223">
        <f t="shared" si="2"/>
        <v>0</v>
      </c>
      <c r="S18" s="223">
        <f t="shared" si="2"/>
        <v>0</v>
      </c>
      <c r="T18" s="223">
        <f t="shared" si="2"/>
        <v>0</v>
      </c>
      <c r="U18" s="223">
        <f t="shared" si="2"/>
        <v>0</v>
      </c>
      <c r="V18" s="223">
        <f t="shared" si="2"/>
        <v>0</v>
      </c>
      <c r="W18" s="223">
        <f t="shared" si="2"/>
        <v>0</v>
      </c>
      <c r="X18" s="223">
        <f t="shared" si="2"/>
        <v>0</v>
      </c>
      <c r="Y18" s="223">
        <f t="shared" si="2"/>
        <v>0</v>
      </c>
      <c r="Z18" s="223">
        <f t="shared" si="2"/>
        <v>0</v>
      </c>
      <c r="AA18" s="223">
        <f t="shared" si="2"/>
        <v>0</v>
      </c>
      <c r="AB18" s="223">
        <f>AB15*(AB16+AB17)*10/1000</f>
        <v>0</v>
      </c>
      <c r="AC18" s="223">
        <f>AC15*(AC16+AC17)*10/1000</f>
        <v>0</v>
      </c>
      <c r="AD18" s="223">
        <f>AD15*(AD16+AD17)*10/1000</f>
        <v>0</v>
      </c>
      <c r="AE18" s="223">
        <f>AE15*(AE16+AE17)*10/1000</f>
        <v>0</v>
      </c>
      <c r="AF18" s="223">
        <f>AF15*(AF16+AF17)*10/1000</f>
        <v>0</v>
      </c>
      <c r="AG18" s="223">
        <f t="shared" ref="AG18:AP18" si="3">AG15*(AG16+AG17)*10/1000</f>
        <v>0</v>
      </c>
      <c r="AH18" s="223">
        <f t="shared" si="3"/>
        <v>0</v>
      </c>
      <c r="AI18" s="223">
        <f t="shared" si="3"/>
        <v>0</v>
      </c>
      <c r="AJ18" s="223">
        <f t="shared" si="3"/>
        <v>0</v>
      </c>
      <c r="AK18" s="223">
        <f t="shared" si="3"/>
        <v>0</v>
      </c>
      <c r="AL18" s="223">
        <f t="shared" si="3"/>
        <v>0</v>
      </c>
      <c r="AM18" s="223">
        <f t="shared" si="3"/>
        <v>0</v>
      </c>
      <c r="AN18" s="223">
        <f t="shared" si="3"/>
        <v>0</v>
      </c>
      <c r="AO18" s="223">
        <f t="shared" si="3"/>
        <v>0</v>
      </c>
      <c r="AP18" s="224">
        <f t="shared" si="3"/>
        <v>0</v>
      </c>
    </row>
    <row r="19" spans="2:42">
      <c r="B19" s="27"/>
      <c r="C19" s="24"/>
      <c r="D19" s="28"/>
      <c r="E19" s="29"/>
      <c r="F19" s="20"/>
      <c r="G19" s="18"/>
      <c r="H19" s="17"/>
      <c r="AP19" s="134"/>
    </row>
    <row r="20" spans="2:42">
      <c r="B20" s="32" t="s">
        <v>115</v>
      </c>
      <c r="C20" s="24"/>
      <c r="D20" s="28" t="s">
        <v>32</v>
      </c>
      <c r="E20" s="29" t="s">
        <v>22</v>
      </c>
      <c r="F20" s="24"/>
      <c r="G20" s="18"/>
      <c r="H20" s="17"/>
      <c r="AP20" s="134"/>
    </row>
    <row r="21" spans="2:42">
      <c r="B21" s="33" t="str">
        <f>'Dane inwestycji'!C51</f>
        <v>Koszty obsługi instalacji oraz pozostałe</v>
      </c>
      <c r="C21" s="24" t="s">
        <v>61</v>
      </c>
      <c r="D21" s="142">
        <f>'Dane inwestycji'!G51</f>
        <v>1</v>
      </c>
      <c r="E21" s="125">
        <f>-('Dane inwestycji'!$E$51)/1000</f>
        <v>0</v>
      </c>
      <c r="F21" s="20">
        <f>SUM(H21:AP21)</f>
        <v>0</v>
      </c>
      <c r="G21" s="18"/>
      <c r="H21" s="111">
        <f>IF('PL &amp; Cash Flow'!H7&gt;'Dane inwestycji'!$F$24,0,$E$21*$D$21^G7)</f>
        <v>0</v>
      </c>
      <c r="I21" s="110">
        <f>IF('PL &amp; Cash Flow'!I7&gt;'Dane inwestycji'!$F$24,0,$E$21*$D$21^H7)</f>
        <v>0</v>
      </c>
      <c r="J21" s="110">
        <f>IF('PL &amp; Cash Flow'!J7&gt;'Dane inwestycji'!$F$24,0,$E$21*$D$21^I7)</f>
        <v>0</v>
      </c>
      <c r="K21" s="110">
        <f>IF('PL &amp; Cash Flow'!K7&gt;'Dane inwestycji'!$F$24,0,$E$21*$D$21^J7)</f>
        <v>0</v>
      </c>
      <c r="L21" s="110">
        <f>IF('PL &amp; Cash Flow'!L7&gt;'Dane inwestycji'!$F$24,0,$E$21*$D$21^K7)</f>
        <v>0</v>
      </c>
      <c r="M21" s="110">
        <f>IF('PL &amp; Cash Flow'!M7&gt;'Dane inwestycji'!$F$24,0,$E$21*$D$21^L7)</f>
        <v>0</v>
      </c>
      <c r="N21" s="110">
        <f>IF('PL &amp; Cash Flow'!N7&gt;'Dane inwestycji'!$F$24,0,$E$21*$D$21^M7)</f>
        <v>0</v>
      </c>
      <c r="O21" s="110">
        <f>IF('PL &amp; Cash Flow'!O7&gt;'Dane inwestycji'!$F$24,0,$E$21*$D$21^N7)</f>
        <v>0</v>
      </c>
      <c r="P21" s="110">
        <f>IF('PL &amp; Cash Flow'!P7&gt;'Dane inwestycji'!$F$24,0,$E$21*$D$21^O7)</f>
        <v>0</v>
      </c>
      <c r="Q21" s="110">
        <f>IF('PL &amp; Cash Flow'!Q7&gt;'Dane inwestycji'!$F$24,0,$E$21*$D$21^P7)</f>
        <v>0</v>
      </c>
      <c r="R21" s="110">
        <f>IF('PL &amp; Cash Flow'!R7&gt;'Dane inwestycji'!$F$24,0,$E$21*$D$21^Q7)</f>
        <v>0</v>
      </c>
      <c r="S21" s="110">
        <f>IF('PL &amp; Cash Flow'!S7&gt;'Dane inwestycji'!$F$24,0,$E$21*$D$21^R7)</f>
        <v>0</v>
      </c>
      <c r="T21" s="110">
        <f>IF('PL &amp; Cash Flow'!T7&gt;'Dane inwestycji'!$F$24,0,$E$21*$D$21^S7)</f>
        <v>0</v>
      </c>
      <c r="U21" s="110">
        <f>IF('PL &amp; Cash Flow'!U7&gt;'Dane inwestycji'!$F$24,0,$E$21*$D$21^T7)</f>
        <v>0</v>
      </c>
      <c r="V21" s="110">
        <f>IF('PL &amp; Cash Flow'!V7&gt;'Dane inwestycji'!$F$24,0,$E$21*$D$21^U7)</f>
        <v>0</v>
      </c>
      <c r="W21" s="110">
        <f>IF('PL &amp; Cash Flow'!W7&gt;'Dane inwestycji'!$F$24,0,$E$21*$D$21^V7)</f>
        <v>0</v>
      </c>
      <c r="X21" s="110">
        <f>IF('PL &amp; Cash Flow'!X7&gt;'Dane inwestycji'!$F$24,0,$E$21*$D$21^W7)</f>
        <v>0</v>
      </c>
      <c r="Y21" s="110">
        <f>IF('PL &amp; Cash Flow'!Y7&gt;'Dane inwestycji'!$F$24,0,$E$21*$D$21^X7)</f>
        <v>0</v>
      </c>
      <c r="Z21" s="110">
        <f>IF('PL &amp; Cash Flow'!Z7&gt;'Dane inwestycji'!$F$24,0,$E$21*$D$21^Y7)</f>
        <v>0</v>
      </c>
      <c r="AA21" s="110">
        <f>IF('PL &amp; Cash Flow'!AA7&gt;'Dane inwestycji'!$F$24,0,$E$21*$D$21^Z7)</f>
        <v>0</v>
      </c>
      <c r="AB21" s="110">
        <f>IF('PL &amp; Cash Flow'!AB7&gt;'Dane inwestycji'!$F$24,0,$E$21*$D$21^AA7)</f>
        <v>0</v>
      </c>
      <c r="AC21" s="110">
        <f>IF('PL &amp; Cash Flow'!AC7&gt;'Dane inwestycji'!$F$24,0,$E$21*$D$21^AB7)</f>
        <v>0</v>
      </c>
      <c r="AD21" s="110">
        <f>IF('PL &amp; Cash Flow'!AD7&gt;'Dane inwestycji'!$F$24,0,$E$21*$D$21^AC7)</f>
        <v>0</v>
      </c>
      <c r="AE21" s="110">
        <f>IF('PL &amp; Cash Flow'!AE7&gt;'Dane inwestycji'!$F$24,0,$E$21*$D$21^AD7)</f>
        <v>0</v>
      </c>
      <c r="AF21" s="110">
        <f>IF('PL &amp; Cash Flow'!AF7&gt;'Dane inwestycji'!$F$24,0,$E$21*$D$21^AE7)</f>
        <v>0</v>
      </c>
      <c r="AG21" s="110">
        <f>IF('PL &amp; Cash Flow'!AG7&gt;'Dane inwestycji'!$F$24,0,$E$21*$D$21^AF7)</f>
        <v>0</v>
      </c>
      <c r="AH21" s="110">
        <f>IF('PL &amp; Cash Flow'!AH7&gt;'Dane inwestycji'!$F$24,0,$E$21*$D$21^AG7)</f>
        <v>0</v>
      </c>
      <c r="AI21" s="110">
        <f>IF('PL &amp; Cash Flow'!AI7&gt;'Dane inwestycji'!$F$24,0,$E$21*$D$21^AH7)</f>
        <v>0</v>
      </c>
      <c r="AJ21" s="110">
        <f>IF('PL &amp; Cash Flow'!AJ7&gt;'Dane inwestycji'!$F$24,0,$E$21*$D$21^AI7)</f>
        <v>0</v>
      </c>
      <c r="AK21" s="110">
        <f>IF('PL &amp; Cash Flow'!AK7&gt;'Dane inwestycji'!$F$24,0,$E$21*$D$21^AJ7)</f>
        <v>0</v>
      </c>
      <c r="AL21" s="110">
        <f>IF('PL &amp; Cash Flow'!AL7&gt;'Dane inwestycji'!$F$24,0,$E$21*$D$21^AK7)</f>
        <v>0</v>
      </c>
      <c r="AM21" s="110">
        <f>IF('PL &amp; Cash Flow'!AM7&gt;'Dane inwestycji'!$F$24,0,$E$21*$D$21^AL7)</f>
        <v>0</v>
      </c>
      <c r="AN21" s="110">
        <f>IF('PL &amp; Cash Flow'!AN7&gt;'Dane inwestycji'!$F$24,0,$E$21*$D$21^AM7)</f>
        <v>0</v>
      </c>
      <c r="AO21" s="110">
        <f>IF('PL &amp; Cash Flow'!AO7&gt;'Dane inwestycji'!$F$24,0,$E$21*$D$21^AN7)</f>
        <v>0</v>
      </c>
      <c r="AP21" s="136">
        <f>IF('PL &amp; Cash Flow'!AP7&gt;'Dane inwestycji'!$F$24,0,$E$21*$D$21^AO7)</f>
        <v>0</v>
      </c>
    </row>
    <row r="22" spans="2:42">
      <c r="B22" s="33" t="str">
        <f>'Dane inwestycji'!C56</f>
        <v>Dierżawa i inne opłaty na rzecz właściela gruntu</v>
      </c>
      <c r="C22" s="24" t="s">
        <v>61</v>
      </c>
      <c r="D22" s="142">
        <f>'Dane inwestycji'!G56</f>
        <v>1</v>
      </c>
      <c r="E22" s="125">
        <f>-+'Dane inwestycji'!$E$56/1000</f>
        <v>0</v>
      </c>
      <c r="F22" s="20">
        <f>SUM(H22:AP22)</f>
        <v>0</v>
      </c>
      <c r="G22" s="18"/>
      <c r="H22" s="111">
        <f>IF('PL &amp; Cash Flow'!H7&gt;'Dane inwestycji'!$F$24,0,$E$22*$D$22^G7)</f>
        <v>0</v>
      </c>
      <c r="I22" s="110">
        <f>IF('PL &amp; Cash Flow'!I7&gt;'Dane inwestycji'!$F$24,0,$E$22*$D$22^H7)</f>
        <v>0</v>
      </c>
      <c r="J22" s="110">
        <f>IF('PL &amp; Cash Flow'!J7&gt;'Dane inwestycji'!$F$24,0,$E$22*$D$22^I7)</f>
        <v>0</v>
      </c>
      <c r="K22" s="110">
        <f>IF('PL &amp; Cash Flow'!K7&gt;'Dane inwestycji'!$F$24,0,$E$22*$D$22^J7)</f>
        <v>0</v>
      </c>
      <c r="L22" s="110">
        <f>IF('PL &amp; Cash Flow'!L7&gt;'Dane inwestycji'!$F$24,0,$E$22*$D$22^K7)</f>
        <v>0</v>
      </c>
      <c r="M22" s="110">
        <f>IF('PL &amp; Cash Flow'!M7&gt;'Dane inwestycji'!$F$24,0,$E$22*$D$22^L7)</f>
        <v>0</v>
      </c>
      <c r="N22" s="110">
        <f>IF('PL &amp; Cash Flow'!N7&gt;'Dane inwestycji'!$F$24,0,$E$22*$D$22^M7)</f>
        <v>0</v>
      </c>
      <c r="O22" s="110">
        <f>IF('PL &amp; Cash Flow'!O7&gt;'Dane inwestycji'!$F$24,0,$E$22*$D$22^N7)</f>
        <v>0</v>
      </c>
      <c r="P22" s="110">
        <f>IF('PL &amp; Cash Flow'!P7&gt;'Dane inwestycji'!$F$24,0,$E$22*$D$22^O7)</f>
        <v>0</v>
      </c>
      <c r="Q22" s="110">
        <f>IF('PL &amp; Cash Flow'!Q7&gt;'Dane inwestycji'!$F$24,0,$E$22*$D$22^P7)</f>
        <v>0</v>
      </c>
      <c r="R22" s="110">
        <f>IF('PL &amp; Cash Flow'!R7&gt;'Dane inwestycji'!$F$24,0,$E$22*$D$22^Q7)</f>
        <v>0</v>
      </c>
      <c r="S22" s="110">
        <f>IF('PL &amp; Cash Flow'!S7&gt;'Dane inwestycji'!$F$24,0,$E$22*$D$22^R7)</f>
        <v>0</v>
      </c>
      <c r="T22" s="110">
        <f>IF('PL &amp; Cash Flow'!T7&gt;'Dane inwestycji'!$F$24,0,$E$22*$D$22^S7)</f>
        <v>0</v>
      </c>
      <c r="U22" s="110">
        <f>IF('PL &amp; Cash Flow'!U7&gt;'Dane inwestycji'!$F$24,0,$E$22*$D$22^T7)</f>
        <v>0</v>
      </c>
      <c r="V22" s="110">
        <f>IF('PL &amp; Cash Flow'!V7&gt;'Dane inwestycji'!$F$24,0,$E$22*$D$22^U7)</f>
        <v>0</v>
      </c>
      <c r="W22" s="110">
        <f>IF('PL &amp; Cash Flow'!W7&gt;'Dane inwestycji'!$F$24,0,$E$22*$D$22^V7)</f>
        <v>0</v>
      </c>
      <c r="X22" s="110">
        <f>IF('PL &amp; Cash Flow'!X7&gt;'Dane inwestycji'!$F$24,0,$E$22*$D$22^W7)</f>
        <v>0</v>
      </c>
      <c r="Y22" s="110">
        <f>IF('PL &amp; Cash Flow'!Y7&gt;'Dane inwestycji'!$F$24,0,$E$22*$D$22^X7)</f>
        <v>0</v>
      </c>
      <c r="Z22" s="110">
        <f>IF('PL &amp; Cash Flow'!Z7&gt;'Dane inwestycji'!$F$24,0,$E$22*$D$22^Y7)</f>
        <v>0</v>
      </c>
      <c r="AA22" s="110">
        <f>IF('PL &amp; Cash Flow'!AA7&gt;'Dane inwestycji'!$F$24,0,$E$22*$D$22^Z7)</f>
        <v>0</v>
      </c>
      <c r="AB22" s="110">
        <f>IF('PL &amp; Cash Flow'!AB7&gt;'Dane inwestycji'!$F$24,0,$E$22*$D$22^AA7)</f>
        <v>0</v>
      </c>
      <c r="AC22" s="110">
        <f>IF('PL &amp; Cash Flow'!AC7&gt;'Dane inwestycji'!$F$24,0,$E$22*$D$22^AB7)</f>
        <v>0</v>
      </c>
      <c r="AD22" s="110">
        <f>IF('PL &amp; Cash Flow'!AD7&gt;'Dane inwestycji'!$F$24,0,$E$22*$D$22^AC7)</f>
        <v>0</v>
      </c>
      <c r="AE22" s="110">
        <f>IF('PL &amp; Cash Flow'!AE7&gt;'Dane inwestycji'!$F$24,0,$E$22*$D$22^AD7)</f>
        <v>0</v>
      </c>
      <c r="AF22" s="110">
        <f>IF('PL &amp; Cash Flow'!AF7&gt;'Dane inwestycji'!$F$24,0,$E$22*$D$22^AE7)</f>
        <v>0</v>
      </c>
      <c r="AG22" s="110">
        <f>IF('PL &amp; Cash Flow'!AG7&gt;'Dane inwestycji'!$F$24,0,$E$22*$D$22^AF7)</f>
        <v>0</v>
      </c>
      <c r="AH22" s="110">
        <f>IF('PL &amp; Cash Flow'!AH7&gt;'Dane inwestycji'!$F$24,0,$E$22*$D$22^AG7)</f>
        <v>0</v>
      </c>
      <c r="AI22" s="110">
        <f>IF('PL &amp; Cash Flow'!AI7&gt;'Dane inwestycji'!$F$24,0,$E$22*$D$22^AH7)</f>
        <v>0</v>
      </c>
      <c r="AJ22" s="110">
        <f>IF('PL &amp; Cash Flow'!AJ7&gt;'Dane inwestycji'!$F$24,0,$E$22*$D$22^AI7)</f>
        <v>0</v>
      </c>
      <c r="AK22" s="110">
        <f>IF('PL &amp; Cash Flow'!AK7&gt;'Dane inwestycji'!$F$24,0,$E$22*$D$22^AJ7)</f>
        <v>0</v>
      </c>
      <c r="AL22" s="110">
        <f>IF('PL &amp; Cash Flow'!AL7&gt;'Dane inwestycji'!$F$24,0,$E$22*$D$22^AK7)</f>
        <v>0</v>
      </c>
      <c r="AM22" s="110">
        <f>IF('PL &amp; Cash Flow'!AM7&gt;'Dane inwestycji'!$F$24,0,$E$22*$D$22^AL7)</f>
        <v>0</v>
      </c>
      <c r="AN22" s="110">
        <f>IF('PL &amp; Cash Flow'!AN7&gt;'Dane inwestycji'!$F$24,0,$E$22*$D$22^AM7)</f>
        <v>0</v>
      </c>
      <c r="AO22" s="110">
        <f>IF('PL &amp; Cash Flow'!AO7&gt;'Dane inwestycji'!$F$24,0,$E$22*$D$22^AN7)</f>
        <v>0</v>
      </c>
      <c r="AP22" s="136">
        <f>IF('PL &amp; Cash Flow'!AP7&gt;'Dane inwestycji'!$F$24,0,$E$22*$D$22^AO7)</f>
        <v>0</v>
      </c>
    </row>
    <row r="23" spans="2:42">
      <c r="B23" s="25" t="s">
        <v>116</v>
      </c>
      <c r="C23" s="24"/>
      <c r="D23" s="96"/>
      <c r="E23" s="96"/>
      <c r="F23" s="97"/>
      <c r="G23" s="21"/>
      <c r="H23" s="322"/>
      <c r="I23" s="23"/>
      <c r="J23" s="23"/>
      <c r="K23" s="23"/>
      <c r="AP23" s="134"/>
    </row>
    <row r="24" spans="2:42">
      <c r="B24" s="147" t="s">
        <v>117</v>
      </c>
      <c r="C24" s="148" t="s">
        <v>61</v>
      </c>
      <c r="D24" s="149"/>
      <c r="E24" s="149"/>
      <c r="F24" s="51">
        <f>SUM(H24:AP24)</f>
        <v>0.36302464499999998</v>
      </c>
      <c r="G24" s="150">
        <f>SUM(G18:G23)</f>
        <v>0</v>
      </c>
      <c r="H24" s="151">
        <f>H18+SUM(H21:H22)-H23</f>
        <v>0.36302464499999998</v>
      </c>
      <c r="I24" s="152">
        <f t="shared" ref="I24:AA24" si="4">I18+SUM(I21:I22)</f>
        <v>0</v>
      </c>
      <c r="J24" s="152">
        <f t="shared" si="4"/>
        <v>0</v>
      </c>
      <c r="K24" s="152">
        <f t="shared" si="4"/>
        <v>0</v>
      </c>
      <c r="L24" s="152">
        <f t="shared" si="4"/>
        <v>0</v>
      </c>
      <c r="M24" s="152">
        <f t="shared" si="4"/>
        <v>0</v>
      </c>
      <c r="N24" s="152">
        <f t="shared" si="4"/>
        <v>0</v>
      </c>
      <c r="O24" s="152">
        <f t="shared" si="4"/>
        <v>0</v>
      </c>
      <c r="P24" s="152">
        <f t="shared" si="4"/>
        <v>0</v>
      </c>
      <c r="Q24" s="152">
        <f t="shared" si="4"/>
        <v>0</v>
      </c>
      <c r="R24" s="152">
        <f t="shared" si="4"/>
        <v>0</v>
      </c>
      <c r="S24" s="152">
        <f t="shared" si="4"/>
        <v>0</v>
      </c>
      <c r="T24" s="152">
        <f t="shared" si="4"/>
        <v>0</v>
      </c>
      <c r="U24" s="152">
        <f t="shared" si="4"/>
        <v>0</v>
      </c>
      <c r="V24" s="152">
        <f t="shared" si="4"/>
        <v>0</v>
      </c>
      <c r="W24" s="152">
        <f t="shared" si="4"/>
        <v>0</v>
      </c>
      <c r="X24" s="152">
        <f t="shared" si="4"/>
        <v>0</v>
      </c>
      <c r="Y24" s="152">
        <f t="shared" si="4"/>
        <v>0</v>
      </c>
      <c r="Z24" s="152">
        <f t="shared" si="4"/>
        <v>0</v>
      </c>
      <c r="AA24" s="152">
        <f t="shared" si="4"/>
        <v>0</v>
      </c>
      <c r="AB24" s="152">
        <f>AB18+SUM(AB21:AB22)</f>
        <v>0</v>
      </c>
      <c r="AC24" s="152">
        <f>AC18+SUM(AC21:AC22)</f>
        <v>0</v>
      </c>
      <c r="AD24" s="152">
        <f>AD18+SUM(AD21:AD22)</f>
        <v>0</v>
      </c>
      <c r="AE24" s="152">
        <f>AE18+SUM(AE21:AE22)</f>
        <v>0</v>
      </c>
      <c r="AF24" s="152">
        <f>AF18+SUM(AF21:AF22)</f>
        <v>0</v>
      </c>
      <c r="AG24" s="152">
        <f t="shared" ref="AG24:AP24" si="5">AG18+SUM(AG21:AG22)</f>
        <v>0</v>
      </c>
      <c r="AH24" s="152">
        <f t="shared" si="5"/>
        <v>0</v>
      </c>
      <c r="AI24" s="152">
        <f t="shared" si="5"/>
        <v>0</v>
      </c>
      <c r="AJ24" s="152">
        <f t="shared" si="5"/>
        <v>0</v>
      </c>
      <c r="AK24" s="152">
        <f t="shared" si="5"/>
        <v>0</v>
      </c>
      <c r="AL24" s="152">
        <f t="shared" si="5"/>
        <v>0</v>
      </c>
      <c r="AM24" s="152">
        <f t="shared" si="5"/>
        <v>0</v>
      </c>
      <c r="AN24" s="152">
        <f t="shared" si="5"/>
        <v>0</v>
      </c>
      <c r="AO24" s="152">
        <f t="shared" si="5"/>
        <v>0</v>
      </c>
      <c r="AP24" s="155">
        <f t="shared" si="5"/>
        <v>0</v>
      </c>
    </row>
    <row r="25" spans="2:42">
      <c r="B25" s="34" t="s">
        <v>118</v>
      </c>
      <c r="C25" s="35"/>
      <c r="D25" s="35"/>
      <c r="E25" s="35"/>
      <c r="F25" s="36">
        <f>F24/$F$18</f>
        <v>1</v>
      </c>
      <c r="G25" s="37"/>
      <c r="H25" s="98">
        <f t="shared" ref="H25:AA25" si="6">IFERROR(H24/H18,0)</f>
        <v>1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36">
        <f t="shared" si="6"/>
        <v>0</v>
      </c>
      <c r="O25" s="36">
        <f t="shared" si="6"/>
        <v>0</v>
      </c>
      <c r="P25" s="36">
        <f t="shared" si="6"/>
        <v>0</v>
      </c>
      <c r="Q25" s="36">
        <f t="shared" si="6"/>
        <v>0</v>
      </c>
      <c r="R25" s="36">
        <f t="shared" si="6"/>
        <v>0</v>
      </c>
      <c r="S25" s="36">
        <f t="shared" si="6"/>
        <v>0</v>
      </c>
      <c r="T25" s="36">
        <f t="shared" si="6"/>
        <v>0</v>
      </c>
      <c r="U25" s="36">
        <f t="shared" si="6"/>
        <v>0</v>
      </c>
      <c r="V25" s="36">
        <f t="shared" si="6"/>
        <v>0</v>
      </c>
      <c r="W25" s="36">
        <f t="shared" si="6"/>
        <v>0</v>
      </c>
      <c r="X25" s="36">
        <f t="shared" si="6"/>
        <v>0</v>
      </c>
      <c r="Y25" s="36">
        <f t="shared" si="6"/>
        <v>0</v>
      </c>
      <c r="Z25" s="36">
        <f t="shared" si="6"/>
        <v>0</v>
      </c>
      <c r="AA25" s="36">
        <f t="shared" si="6"/>
        <v>0</v>
      </c>
      <c r="AB25" s="36">
        <f>IFERROR(AB24/AB18,0)</f>
        <v>0</v>
      </c>
      <c r="AC25" s="36">
        <f>IFERROR(AC24/AC18,0)</f>
        <v>0</v>
      </c>
      <c r="AD25" s="36">
        <f>IFERROR(AD24/AD18,0)</f>
        <v>0</v>
      </c>
      <c r="AE25" s="36">
        <f>IFERROR(AE24/AE18,0)</f>
        <v>0</v>
      </c>
      <c r="AF25" s="36">
        <f>IFERROR(AF24/AF18,0)</f>
        <v>0</v>
      </c>
      <c r="AG25" s="36">
        <f t="shared" ref="AG25:AP25" si="7">IFERROR(AG24/AG18,0)</f>
        <v>0</v>
      </c>
      <c r="AH25" s="36">
        <f t="shared" si="7"/>
        <v>0</v>
      </c>
      <c r="AI25" s="36">
        <f t="shared" si="7"/>
        <v>0</v>
      </c>
      <c r="AJ25" s="36">
        <f t="shared" si="7"/>
        <v>0</v>
      </c>
      <c r="AK25" s="36">
        <f t="shared" si="7"/>
        <v>0</v>
      </c>
      <c r="AL25" s="36">
        <f t="shared" si="7"/>
        <v>0</v>
      </c>
      <c r="AM25" s="36">
        <f t="shared" si="7"/>
        <v>0</v>
      </c>
      <c r="AN25" s="36">
        <f t="shared" si="7"/>
        <v>0</v>
      </c>
      <c r="AO25" s="36">
        <f t="shared" si="7"/>
        <v>0</v>
      </c>
      <c r="AP25" s="220">
        <f t="shared" si="7"/>
        <v>0</v>
      </c>
    </row>
    <row r="26" spans="2:42">
      <c r="B26" s="25"/>
      <c r="C26" s="24"/>
      <c r="D26" s="24"/>
      <c r="E26" s="24"/>
      <c r="F26" s="24"/>
      <c r="G26" s="21"/>
      <c r="H26" s="22"/>
      <c r="I26" s="23"/>
      <c r="J26" s="23"/>
      <c r="K26" s="23"/>
      <c r="AP26" s="134"/>
    </row>
    <row r="27" spans="2:42">
      <c r="B27" s="38" t="s">
        <v>119</v>
      </c>
      <c r="C27" s="19"/>
      <c r="D27" s="19" t="s">
        <v>51</v>
      </c>
      <c r="E27" s="19">
        <f>('Dane inwestycji'!D27)/1000</f>
        <v>0</v>
      </c>
      <c r="F27" s="20">
        <f>SUM(H27:AP27)</f>
        <v>0</v>
      </c>
      <c r="G27" s="21">
        <v>0</v>
      </c>
      <c r="H27" s="111">
        <f>IF(H7&gt;'Dane inwestycji'!$F$25,0,-$E$27/'Dane inwestycji'!$F$25)</f>
        <v>0</v>
      </c>
      <c r="I27" s="247">
        <f>IF(I7&gt;'Dane inwestycji'!$F$25,0,-$E$27/'Dane inwestycji'!$F$25)</f>
        <v>0</v>
      </c>
      <c r="J27" s="247">
        <f>IF(J7&gt;'Dane inwestycji'!$F$25,0,-$E$27/'Dane inwestycji'!$F$25)</f>
        <v>0</v>
      </c>
      <c r="K27" s="247">
        <f>IF(K7&gt;'Dane inwestycji'!$F$25,0,-$E$27/'Dane inwestycji'!$F$25)</f>
        <v>0</v>
      </c>
      <c r="L27" s="247">
        <f>IF(L7&gt;'Dane inwestycji'!$F$25,0,-$E$27/'Dane inwestycji'!$F$25)</f>
        <v>0</v>
      </c>
      <c r="M27" s="247">
        <f>IF(M7&gt;'Dane inwestycji'!$F$25,0,-$E$27/'Dane inwestycji'!$F$25)</f>
        <v>0</v>
      </c>
      <c r="N27" s="247">
        <f>IF(N7&gt;'Dane inwestycji'!$F$25,0,-$E$27/'Dane inwestycji'!$F$25)</f>
        <v>0</v>
      </c>
      <c r="O27" s="247">
        <f>IF(O7&gt;'Dane inwestycji'!$F$25,0,-$E$27/'Dane inwestycji'!$F$25)</f>
        <v>0</v>
      </c>
      <c r="P27" s="247">
        <f>IF(P7&gt;'Dane inwestycji'!$F$25,0,-$E$27/'Dane inwestycji'!$F$25)</f>
        <v>0</v>
      </c>
      <c r="Q27" s="247">
        <f>IF(Q7&gt;'Dane inwestycji'!$F$25,0,-$E$27/'Dane inwestycji'!$F$25)</f>
        <v>0</v>
      </c>
      <c r="R27" s="247">
        <f>IF(R7&gt;'Dane inwestycji'!$F$25,0,-$E$27/'Dane inwestycji'!$F$25)</f>
        <v>0</v>
      </c>
      <c r="S27" s="247">
        <f>IF(S7&gt;'Dane inwestycji'!$F$25,0,-$E$27/'Dane inwestycji'!$F$25)</f>
        <v>0</v>
      </c>
      <c r="T27" s="247">
        <f>IF(T7&gt;'Dane inwestycji'!$F$25,0,-$E$27/'Dane inwestycji'!$F$25)</f>
        <v>0</v>
      </c>
      <c r="U27" s="247">
        <f>IF(U7&gt;'Dane inwestycji'!$F$25,0,-$E$27/'Dane inwestycji'!$F$25)</f>
        <v>0</v>
      </c>
      <c r="V27" s="247">
        <f>IF(V7&gt;'Dane inwestycji'!$F$25,0,-$E$27/'Dane inwestycji'!$F$25)</f>
        <v>0</v>
      </c>
      <c r="W27" s="247">
        <f>IF(W7&gt;'Dane inwestycji'!$F$25,0,-$E$27/'Dane inwestycji'!$F$25)</f>
        <v>0</v>
      </c>
      <c r="X27" s="247">
        <f>IF(X7&gt;'Dane inwestycji'!$F$25,0,-$E$27/'Dane inwestycji'!$F$25)</f>
        <v>0</v>
      </c>
      <c r="Y27" s="247">
        <f>IF(Y7&gt;'Dane inwestycji'!$F$25,0,-$E$27/'Dane inwestycji'!$F$25)</f>
        <v>0</v>
      </c>
      <c r="Z27" s="247">
        <f>IF(Z7&gt;'Dane inwestycji'!$F$25,0,-$E$27/'Dane inwestycji'!$F$25)</f>
        <v>0</v>
      </c>
      <c r="AA27" s="247">
        <f>IF(AA7&gt;'Dane inwestycji'!$F$25,0,-$E$27/'Dane inwestycji'!$F$25)</f>
        <v>0</v>
      </c>
      <c r="AB27" s="247">
        <f>IF(AB7&gt;'Dane inwestycji'!$F$25,0,-$E$27/'Dane inwestycji'!$F$25)</f>
        <v>0</v>
      </c>
      <c r="AC27" s="247">
        <f>IF(AC7&gt;'Dane inwestycji'!$F$25,0,-$E$27/'Dane inwestycji'!$F$25)</f>
        <v>0</v>
      </c>
      <c r="AD27" s="247">
        <f>IF(AD7&gt;'Dane inwestycji'!$F$25,0,-$E$27/'Dane inwestycji'!$F$25)</f>
        <v>0</v>
      </c>
      <c r="AE27" s="247">
        <f>IF(AE7&gt;'Dane inwestycji'!$F$25,0,-$E$27/'Dane inwestycji'!$F$25)</f>
        <v>0</v>
      </c>
      <c r="AF27" s="247">
        <f>IF(AF7&gt;'Dane inwestycji'!$F$25,0,-$E$27/'Dane inwestycji'!$F$25)</f>
        <v>0</v>
      </c>
      <c r="AG27" s="247">
        <f>IF(AG7&gt;'Dane inwestycji'!$F$25,0,-$E$27/'Dane inwestycji'!$F$25)</f>
        <v>0</v>
      </c>
      <c r="AH27" s="247">
        <f>IF(AH7&gt;'Dane inwestycji'!$F$25,0,-$E$27/'Dane inwestycji'!$F$25)</f>
        <v>0</v>
      </c>
      <c r="AI27" s="247">
        <f>IF(AI7&gt;'Dane inwestycji'!$F$25,0,-$E$27/'Dane inwestycji'!$F$25)</f>
        <v>0</v>
      </c>
      <c r="AJ27" s="247">
        <f>IF(AJ7&gt;'Dane inwestycji'!$F$25,0,-$E$27/'Dane inwestycji'!$F$25)</f>
        <v>0</v>
      </c>
      <c r="AK27" s="247">
        <f>IF(AK7&gt;'Dane inwestycji'!$F$25,0,-$E$27/'Dane inwestycji'!$F$25)</f>
        <v>0</v>
      </c>
      <c r="AL27" s="247">
        <f>IF(AL7&gt;'Dane inwestycji'!$F$25,0,-$E$27/'Dane inwestycji'!$F$25)</f>
        <v>0</v>
      </c>
      <c r="AM27" s="247">
        <f>IF(AM7&gt;'Dane inwestycji'!$F$25,0,-$E$27/'Dane inwestycji'!$F$25)</f>
        <v>0</v>
      </c>
      <c r="AN27" s="247">
        <f>IF(AN7&gt;'Dane inwestycji'!$F$25,0,-$E$27/'Dane inwestycji'!$F$25)</f>
        <v>0</v>
      </c>
      <c r="AO27" s="247">
        <f>IF(AO7&gt;'Dane inwestycji'!$F$25,0,-$E$27/'Dane inwestycji'!$F$25)</f>
        <v>0</v>
      </c>
      <c r="AP27" s="246">
        <f>IF(AP7&gt;'Dane inwestycji'!$F$25,0,-$E$27/'Dane inwestycji'!$F$25)</f>
        <v>0</v>
      </c>
    </row>
    <row r="28" spans="2:42">
      <c r="B28" s="147" t="s">
        <v>1</v>
      </c>
      <c r="C28" s="148" t="s">
        <v>61</v>
      </c>
      <c r="D28" s="153"/>
      <c r="E28" s="153"/>
      <c r="F28" s="154">
        <f>SUM(H28:AP28)</f>
        <v>0.36302464499999998</v>
      </c>
      <c r="G28" s="150">
        <v>0</v>
      </c>
      <c r="H28" s="151">
        <f>H24+H27</f>
        <v>0.36302464499999998</v>
      </c>
      <c r="I28" s="152">
        <f>I24+I27</f>
        <v>0</v>
      </c>
      <c r="J28" s="152">
        <f t="shared" ref="J28:AA28" si="8">J24+J27</f>
        <v>0</v>
      </c>
      <c r="K28" s="152">
        <f t="shared" si="8"/>
        <v>0</v>
      </c>
      <c r="L28" s="152">
        <f t="shared" si="8"/>
        <v>0</v>
      </c>
      <c r="M28" s="152">
        <f t="shared" si="8"/>
        <v>0</v>
      </c>
      <c r="N28" s="152">
        <f t="shared" si="8"/>
        <v>0</v>
      </c>
      <c r="O28" s="152">
        <f t="shared" si="8"/>
        <v>0</v>
      </c>
      <c r="P28" s="152">
        <f t="shared" si="8"/>
        <v>0</v>
      </c>
      <c r="Q28" s="152">
        <f t="shared" si="8"/>
        <v>0</v>
      </c>
      <c r="R28" s="152">
        <f t="shared" si="8"/>
        <v>0</v>
      </c>
      <c r="S28" s="152">
        <f t="shared" si="8"/>
        <v>0</v>
      </c>
      <c r="T28" s="152">
        <f t="shared" si="8"/>
        <v>0</v>
      </c>
      <c r="U28" s="152">
        <f t="shared" si="8"/>
        <v>0</v>
      </c>
      <c r="V28" s="152">
        <f t="shared" si="8"/>
        <v>0</v>
      </c>
      <c r="W28" s="152">
        <f t="shared" si="8"/>
        <v>0</v>
      </c>
      <c r="X28" s="152">
        <f t="shared" si="8"/>
        <v>0</v>
      </c>
      <c r="Y28" s="152">
        <f t="shared" si="8"/>
        <v>0</v>
      </c>
      <c r="Z28" s="152">
        <f t="shared" si="8"/>
        <v>0</v>
      </c>
      <c r="AA28" s="152">
        <f t="shared" si="8"/>
        <v>0</v>
      </c>
      <c r="AB28" s="152">
        <f>AB24+AB27</f>
        <v>0</v>
      </c>
      <c r="AC28" s="152">
        <f>AC24+AC27</f>
        <v>0</v>
      </c>
      <c r="AD28" s="152">
        <f>AD24+AD27</f>
        <v>0</v>
      </c>
      <c r="AE28" s="152">
        <f>AE24+AE27</f>
        <v>0</v>
      </c>
      <c r="AF28" s="152">
        <f>AF24+AF27</f>
        <v>0</v>
      </c>
      <c r="AG28" s="152">
        <f t="shared" ref="AG28:AP28" si="9">AG24+AG27</f>
        <v>0</v>
      </c>
      <c r="AH28" s="152">
        <f t="shared" si="9"/>
        <v>0</v>
      </c>
      <c r="AI28" s="152">
        <f t="shared" si="9"/>
        <v>0</v>
      </c>
      <c r="AJ28" s="152">
        <f t="shared" si="9"/>
        <v>0</v>
      </c>
      <c r="AK28" s="152">
        <f t="shared" si="9"/>
        <v>0</v>
      </c>
      <c r="AL28" s="152">
        <f t="shared" si="9"/>
        <v>0</v>
      </c>
      <c r="AM28" s="152">
        <f t="shared" si="9"/>
        <v>0</v>
      </c>
      <c r="AN28" s="152">
        <f t="shared" si="9"/>
        <v>0</v>
      </c>
      <c r="AO28" s="152">
        <f t="shared" si="9"/>
        <v>0</v>
      </c>
      <c r="AP28" s="155">
        <f t="shared" si="9"/>
        <v>0</v>
      </c>
    </row>
    <row r="29" spans="2:42">
      <c r="B29" s="34" t="s">
        <v>120</v>
      </c>
      <c r="C29" s="35"/>
      <c r="D29" s="35"/>
      <c r="E29" s="35"/>
      <c r="F29" s="36">
        <f>F28/$F$18</f>
        <v>1</v>
      </c>
      <c r="G29" s="37">
        <v>0</v>
      </c>
      <c r="H29" s="98">
        <f t="shared" ref="H29:AA29" si="10">IFERROR(H28/H18,0)</f>
        <v>1</v>
      </c>
      <c r="I29" s="36">
        <f t="shared" si="10"/>
        <v>0</v>
      </c>
      <c r="J29" s="36">
        <f t="shared" si="10"/>
        <v>0</v>
      </c>
      <c r="K29" s="36">
        <f t="shared" si="10"/>
        <v>0</v>
      </c>
      <c r="L29" s="36">
        <f t="shared" si="10"/>
        <v>0</v>
      </c>
      <c r="M29" s="36">
        <f t="shared" si="10"/>
        <v>0</v>
      </c>
      <c r="N29" s="36">
        <f t="shared" si="10"/>
        <v>0</v>
      </c>
      <c r="O29" s="36">
        <f t="shared" si="10"/>
        <v>0</v>
      </c>
      <c r="P29" s="36">
        <f t="shared" si="10"/>
        <v>0</v>
      </c>
      <c r="Q29" s="36">
        <f t="shared" si="10"/>
        <v>0</v>
      </c>
      <c r="R29" s="36">
        <f t="shared" si="10"/>
        <v>0</v>
      </c>
      <c r="S29" s="36">
        <f t="shared" si="10"/>
        <v>0</v>
      </c>
      <c r="T29" s="36">
        <f t="shared" si="10"/>
        <v>0</v>
      </c>
      <c r="U29" s="36">
        <f t="shared" si="10"/>
        <v>0</v>
      </c>
      <c r="V29" s="36">
        <f t="shared" si="10"/>
        <v>0</v>
      </c>
      <c r="W29" s="36">
        <f t="shared" si="10"/>
        <v>0</v>
      </c>
      <c r="X29" s="36">
        <f t="shared" si="10"/>
        <v>0</v>
      </c>
      <c r="Y29" s="36">
        <f t="shared" si="10"/>
        <v>0</v>
      </c>
      <c r="Z29" s="36">
        <f t="shared" si="10"/>
        <v>0</v>
      </c>
      <c r="AA29" s="36">
        <f t="shared" si="10"/>
        <v>0</v>
      </c>
      <c r="AB29" s="36">
        <f>IFERROR(AB28/AB18,0)</f>
        <v>0</v>
      </c>
      <c r="AC29" s="36">
        <f>IFERROR(AC28/AC18,0)</f>
        <v>0</v>
      </c>
      <c r="AD29" s="36">
        <f>IFERROR(AD28/AD18,0)</f>
        <v>0</v>
      </c>
      <c r="AE29" s="36">
        <f>IFERROR(AE28/AE18,0)</f>
        <v>0</v>
      </c>
      <c r="AF29" s="36">
        <f>IFERROR(AF28/AF18,0)</f>
        <v>0</v>
      </c>
      <c r="AG29" s="36">
        <f t="shared" ref="AG29:AP29" si="11">IFERROR(AG28/AG18,0)</f>
        <v>0</v>
      </c>
      <c r="AH29" s="36">
        <f t="shared" si="11"/>
        <v>0</v>
      </c>
      <c r="AI29" s="36">
        <f t="shared" si="11"/>
        <v>0</v>
      </c>
      <c r="AJ29" s="36">
        <f t="shared" si="11"/>
        <v>0</v>
      </c>
      <c r="AK29" s="36">
        <f t="shared" si="11"/>
        <v>0</v>
      </c>
      <c r="AL29" s="36">
        <f t="shared" si="11"/>
        <v>0</v>
      </c>
      <c r="AM29" s="36">
        <f t="shared" si="11"/>
        <v>0</v>
      </c>
      <c r="AN29" s="36">
        <f t="shared" si="11"/>
        <v>0</v>
      </c>
      <c r="AO29" s="36">
        <f t="shared" si="11"/>
        <v>0</v>
      </c>
      <c r="AP29" s="220">
        <f t="shared" si="11"/>
        <v>0</v>
      </c>
    </row>
    <row r="30" spans="2:42">
      <c r="B30" s="25"/>
      <c r="C30" s="24"/>
      <c r="D30" s="24" t="s">
        <v>142</v>
      </c>
      <c r="E30" s="104">
        <f>'Dane inwestycji'!F29/100</f>
        <v>8.7799999999999989E-2</v>
      </c>
      <c r="F30" s="24"/>
      <c r="G30" s="21"/>
      <c r="H30" s="22"/>
      <c r="I30" s="23"/>
      <c r="J30" s="23"/>
      <c r="K30" s="23"/>
      <c r="AP30" s="134"/>
    </row>
    <row r="31" spans="2:42">
      <c r="B31" s="25" t="s">
        <v>121</v>
      </c>
      <c r="C31" s="24"/>
      <c r="E31" s="257" t="str">
        <f>'Dane inwestycji'!F33</f>
        <v>Equal_Principal</v>
      </c>
      <c r="F31" s="24"/>
      <c r="G31" s="21"/>
      <c r="H31" s="22"/>
      <c r="I31" s="258"/>
      <c r="J31" s="258"/>
      <c r="K31" s="258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8"/>
      <c r="AP31" s="134"/>
    </row>
    <row r="32" spans="2:42">
      <c r="B32" s="38" t="s">
        <v>122</v>
      </c>
      <c r="C32" s="24"/>
      <c r="D32" s="19" t="s">
        <v>141</v>
      </c>
      <c r="E32" s="19">
        <f>'Dane inwestycji'!F31</f>
        <v>1</v>
      </c>
      <c r="F32" s="20">
        <f>SUM(H32:AP32)</f>
        <v>0</v>
      </c>
      <c r="G32" s="39">
        <v>0</v>
      </c>
      <c r="H32" s="112">
        <f>ROUND(G35*$E$30,5)</f>
        <v>0</v>
      </c>
      <c r="I32" s="113">
        <f t="shared" ref="I32:AF32" si="12">ROUND(H35*$E$30,5)</f>
        <v>0</v>
      </c>
      <c r="J32" s="113">
        <f t="shared" si="12"/>
        <v>0</v>
      </c>
      <c r="K32" s="113">
        <f t="shared" si="12"/>
        <v>0</v>
      </c>
      <c r="L32" s="113">
        <f t="shared" si="12"/>
        <v>0</v>
      </c>
      <c r="M32" s="113">
        <f t="shared" si="12"/>
        <v>0</v>
      </c>
      <c r="N32" s="113">
        <f t="shared" si="12"/>
        <v>0</v>
      </c>
      <c r="O32" s="113">
        <f t="shared" si="12"/>
        <v>0</v>
      </c>
      <c r="P32" s="113">
        <f t="shared" si="12"/>
        <v>0</v>
      </c>
      <c r="Q32" s="113">
        <f t="shared" si="12"/>
        <v>0</v>
      </c>
      <c r="R32" s="113">
        <f t="shared" si="12"/>
        <v>0</v>
      </c>
      <c r="S32" s="113">
        <f t="shared" si="12"/>
        <v>0</v>
      </c>
      <c r="T32" s="113">
        <f t="shared" si="12"/>
        <v>0</v>
      </c>
      <c r="U32" s="113">
        <f t="shared" si="12"/>
        <v>0</v>
      </c>
      <c r="V32" s="113">
        <f t="shared" si="12"/>
        <v>0</v>
      </c>
      <c r="W32" s="113">
        <f t="shared" si="12"/>
        <v>0</v>
      </c>
      <c r="X32" s="113">
        <f t="shared" si="12"/>
        <v>0</v>
      </c>
      <c r="Y32" s="113">
        <f t="shared" si="12"/>
        <v>0</v>
      </c>
      <c r="Z32" s="113">
        <f t="shared" si="12"/>
        <v>0</v>
      </c>
      <c r="AA32" s="113">
        <f t="shared" si="12"/>
        <v>0</v>
      </c>
      <c r="AB32" s="113">
        <f t="shared" si="12"/>
        <v>0</v>
      </c>
      <c r="AC32" s="113">
        <f t="shared" si="12"/>
        <v>0</v>
      </c>
      <c r="AD32" s="113">
        <f t="shared" si="12"/>
        <v>0</v>
      </c>
      <c r="AE32" s="113">
        <f t="shared" si="12"/>
        <v>0</v>
      </c>
      <c r="AF32" s="113">
        <f t="shared" si="12"/>
        <v>0</v>
      </c>
      <c r="AG32" s="113">
        <f t="shared" ref="AG32:AP32" si="13">ROUND(AF35*$E$30,5)</f>
        <v>0</v>
      </c>
      <c r="AH32" s="113">
        <f t="shared" si="13"/>
        <v>0</v>
      </c>
      <c r="AI32" s="113">
        <f t="shared" si="13"/>
        <v>0</v>
      </c>
      <c r="AJ32" s="113">
        <f t="shared" si="13"/>
        <v>0</v>
      </c>
      <c r="AK32" s="113">
        <f t="shared" si="13"/>
        <v>0</v>
      </c>
      <c r="AL32" s="113">
        <f t="shared" si="13"/>
        <v>0</v>
      </c>
      <c r="AM32" s="113">
        <f t="shared" si="13"/>
        <v>0</v>
      </c>
      <c r="AN32" s="113">
        <f t="shared" si="13"/>
        <v>0</v>
      </c>
      <c r="AO32" s="113">
        <f t="shared" si="13"/>
        <v>0</v>
      </c>
      <c r="AP32" s="137">
        <f t="shared" si="13"/>
        <v>0</v>
      </c>
    </row>
    <row r="33" spans="2:42" outlineLevel="1">
      <c r="B33" s="38" t="s">
        <v>123</v>
      </c>
      <c r="C33" s="19"/>
      <c r="D33" s="19" t="s">
        <v>140</v>
      </c>
      <c r="E33" s="19">
        <f>'Dane inwestycji'!F32</f>
        <v>1</v>
      </c>
      <c r="F33" s="20">
        <f>SUM(H33:AP33)</f>
        <v>0</v>
      </c>
      <c r="G33" s="39"/>
      <c r="H33" s="113">
        <f>IF(OR('PL &amp; Cash Flow'!H7&gt;'Dane inwestycji'!$F$31,'PL &amp; Cash Flow'!H7&lt;'Dane inwestycji'!$F$32+1),IF($E$31="Sculpted",IF(H34&gt;=-G35,G35,-H34),0),IF($E$31="Annuity",IF(G35-($E$35-H32)&gt;0,G35,$E$35-H32),IF($E$31="Equal_Principal",$E$35,IF(H34&gt;=-G35,G35,-H34))))</f>
        <v>0</v>
      </c>
      <c r="I33" s="113">
        <f>IF(OR('PL &amp; Cash Flow'!I7&gt;'Dane inwestycji'!$F$31,'PL &amp; Cash Flow'!I7&lt;'Dane inwestycji'!$F$32+1),IF($E$31="Sculpted",IF(I34&gt;=-H35,H35,-I34),0),IF($E$31="Annuity",IF(H35-($E$35-I32)&gt;0,H35,$E$35-I32),IF($E$31="Equal_Principal",$E$35,IF(I34&gt;=-H35,H35,-I34))))</f>
        <v>0</v>
      </c>
      <c r="J33" s="113">
        <f>IF(OR('PL &amp; Cash Flow'!J7&gt;'Dane inwestycji'!$F$31,'PL &amp; Cash Flow'!J7&lt;'Dane inwestycji'!$F$32+1),IF($E$31="Sculpted",IF(J34&gt;=-I35,I35,-J34),0),IF($E$31="Annuity",IF(I35-($E$35-J32)&gt;0,I35,$E$35-J32),IF($E$31="Equal_Principal",$E$35,IF(J34&gt;=-I35,I35,-J34))))</f>
        <v>0</v>
      </c>
      <c r="K33" s="113">
        <f>IF(OR('PL &amp; Cash Flow'!K7&gt;'Dane inwestycji'!$F$31,'PL &amp; Cash Flow'!K7&lt;'Dane inwestycji'!$F$32+1),IF($E$31="Sculpted",IF(K34&gt;=-J35,J35,-K34),0),IF($E$31="Annuity",IF(J35-($E$35-K32)&gt;0,J35,$E$35-K32),IF($E$31="Equal_Principal",$E$35,IF(K34&gt;=-J35,J35,-K34))))</f>
        <v>0</v>
      </c>
      <c r="L33" s="113">
        <f>IF(OR('PL &amp; Cash Flow'!L7&gt;'Dane inwestycji'!$F$31,'PL &amp; Cash Flow'!L7&lt;'Dane inwestycji'!$F$32+1),IF($E$31="Sculpted",IF(L34&gt;=-K35,K35,-L34),0),IF($E$31="Annuity",IF(K35-($E$35-L32)&gt;0,K35,$E$35-L32),IF($E$31="Equal_Principal",$E$35,IF(L34&gt;=-K35,K35,-L34))))</f>
        <v>0</v>
      </c>
      <c r="M33" s="113">
        <f>IF(OR('PL &amp; Cash Flow'!M7&gt;'Dane inwestycji'!$F$31,'PL &amp; Cash Flow'!M7&lt;'Dane inwestycji'!$F$32+1),IF($E$31="Sculpted",IF(M34&gt;=-L35,L35,-M34),0),IF($E$31="Annuity",IF(L35-($E$35-M32)&gt;0,L35,$E$35-M32),IF($E$31="Equal_Principal",$E$35,IF(M34&gt;=-L35,L35,-M34))))</f>
        <v>0</v>
      </c>
      <c r="N33" s="113">
        <f>IF(OR('PL &amp; Cash Flow'!N7&gt;'Dane inwestycji'!$F$31,'PL &amp; Cash Flow'!N7&lt;'Dane inwestycji'!$F$32+1),IF($E$31="Sculpted",IF(N34&gt;=-M35,M35,-N34),0),IF($E$31="Annuity",IF(M35-($E$35-N32)&gt;0,M35,$E$35-N32),IF($E$31="Equal_Principal",$E$35,IF(N34&gt;=-M35,M35,-N34))))</f>
        <v>0</v>
      </c>
      <c r="O33" s="113">
        <f>IF(OR('PL &amp; Cash Flow'!O7&gt;'Dane inwestycji'!$F$31,'PL &amp; Cash Flow'!O7&lt;'Dane inwestycji'!$F$32+1),IF($E$31="Sculpted",IF(O34&gt;=-N35,N35,-O34),0),IF($E$31="Annuity",IF(N35-($E$35-O32)&gt;0,N35,$E$35-O32),IF($E$31="Equal_Principal",$E$35,IF(O34&gt;=-N35,N35,-O34))))</f>
        <v>0</v>
      </c>
      <c r="P33" s="113">
        <f>IF(OR('PL &amp; Cash Flow'!P7&gt;'Dane inwestycji'!$F$31,'PL &amp; Cash Flow'!P7&lt;'Dane inwestycji'!$F$32+1),IF($E$31="Sculpted",IF(P34&gt;=-O35,O35,-P34),0),IF($E$31="Annuity",IF(O35-($E$35-P32)&gt;0,O35,$E$35-P32),IF($E$31="Equal_Principal",$E$35,IF(P34&gt;=-O35,O35,-P34))))</f>
        <v>0</v>
      </c>
      <c r="Q33" s="113">
        <f>IF(OR('PL &amp; Cash Flow'!Q7&gt;'Dane inwestycji'!$F$31,'PL &amp; Cash Flow'!Q7&lt;'Dane inwestycji'!$F$32+1),IF($E$31="Sculpted",IF(Q34&gt;=-P35,P35,-Q34),0),IF($E$31="Annuity",IF(P35-($E$35-Q32)&gt;0,P35,$E$35-Q32),IF($E$31="Equal_Principal",$E$35,IF(Q34&gt;=-P35,P35,-Q34))))</f>
        <v>0</v>
      </c>
      <c r="R33" s="113">
        <f>IF(OR('PL &amp; Cash Flow'!R7&gt;'Dane inwestycji'!$F$31,'PL &amp; Cash Flow'!R7&lt;'Dane inwestycji'!$F$32+1),IF($E$31="Sculpted",IF(R34&gt;=-Q35,Q35,-R34),0),IF($E$31="Annuity",IF(Q35-($E$35-R32)&gt;0,Q35,$E$35-R32),IF($E$31="Equal_Principal",$E$35,IF(R34&gt;=-Q35,Q35,-R34))))</f>
        <v>0</v>
      </c>
      <c r="S33" s="113">
        <f>IF(OR('PL &amp; Cash Flow'!S7&gt;'Dane inwestycji'!$F$31,'PL &amp; Cash Flow'!S7&lt;'Dane inwestycji'!$F$32+1),IF($E$31="Sculpted",IF(S34&gt;=-R35,R35,-S34),0),IF($E$31="Annuity",IF(R35-($E$35-S32)&gt;0,R35,$E$35-S32),IF($E$31="Equal_Principal",$E$35,IF(S34&gt;=-R35,R35,-S34))))</f>
        <v>0</v>
      </c>
      <c r="T33" s="113">
        <f>IF(OR('PL &amp; Cash Flow'!T7&gt;'Dane inwestycji'!$F$31,'PL &amp; Cash Flow'!T7&lt;'Dane inwestycji'!$F$32+1),IF($E$31="Sculpted",IF(T34&gt;=-S35,S35,-T34),0),IF($E$31="Annuity",IF(S35-($E$35-T32)&gt;0,S35,$E$35-T32),IF($E$31="Equal_Principal",$E$35,IF(T34&gt;=-S35,S35,-T34))))</f>
        <v>0</v>
      </c>
      <c r="U33" s="113">
        <f>IF(OR('PL &amp; Cash Flow'!U7&gt;'Dane inwestycji'!$F$31,'PL &amp; Cash Flow'!U7&lt;'Dane inwestycji'!$F$32+1),IF($E$31="Sculpted",IF(U34&gt;=-T35,T35,-U34),0),IF($E$31="Annuity",IF(T35-($E$35-U32)&gt;0,T35,$E$35-U32),IF($E$31="Equal_Principal",$E$35,IF(U34&gt;=-T35,T35,-U34))))</f>
        <v>0</v>
      </c>
      <c r="V33" s="113">
        <f>IF(OR('PL &amp; Cash Flow'!V7&gt;'Dane inwestycji'!$F$31,'PL &amp; Cash Flow'!V7&lt;'Dane inwestycji'!$F$32+1),IF($E$31="Sculpted",IF(V34&gt;=-U35,U35,-V34),0),IF($E$31="Annuity",IF(U35-($E$35-V32)&gt;0,U35,$E$35-V32),IF($E$31="Equal_Principal",$E$35,IF(V34&gt;=-U35,U35,-V34))))</f>
        <v>0</v>
      </c>
      <c r="W33" s="113">
        <f>IF(OR('PL &amp; Cash Flow'!W7&gt;'Dane inwestycji'!$F$31,'PL &amp; Cash Flow'!W7&lt;'Dane inwestycji'!$F$32+1),IF($E$31="Sculpted",IF(W34&gt;=-V35,V35,-W34),0),IF($E$31="Annuity",IF(V35-($E$35-W32)&gt;0,V35,$E$35-W32),IF($E$31="Equal_Principal",$E$35,IF(W34&gt;=-V35,V35,-W34))))</f>
        <v>0</v>
      </c>
      <c r="X33" s="113">
        <f>IF(OR('PL &amp; Cash Flow'!X7&gt;'Dane inwestycji'!$F$31,'PL &amp; Cash Flow'!X7&lt;'Dane inwestycji'!$F$32+1),IF($E$31="Sculpted",IF(X34&gt;=-W35,W35,-X34),0),IF($E$31="Annuity",IF(W35-($E$35-X32)&gt;0,W35,$E$35-X32),IF($E$31="Equal_Principal",$E$35,IF(X34&gt;=-W35,W35,-X34))))</f>
        <v>0</v>
      </c>
      <c r="Y33" s="113">
        <f>IF(OR('PL &amp; Cash Flow'!Y7&gt;'Dane inwestycji'!$F$31,'PL &amp; Cash Flow'!Y7&lt;'Dane inwestycji'!$F$32+1),IF($E$31="Sculpted",IF(Y34&gt;=-X35,X35,-Y34),0),IF($E$31="Annuity",IF(X35-($E$35-Y32)&gt;0,X35,$E$35-Y32),IF($E$31="Equal_Principal",$E$35,IF(Y34&gt;=-X35,X35,-Y34))))</f>
        <v>0</v>
      </c>
      <c r="Z33" s="113">
        <f>IF(OR('PL &amp; Cash Flow'!Z7&gt;'Dane inwestycji'!$F$31,'PL &amp; Cash Flow'!Z7&lt;'Dane inwestycji'!$F$32+1),IF($E$31="Sculpted",IF(Z34&gt;=-Y35,Y35,-Z34),0),IF($E$31="Annuity",IF(Y35-($E$35-Z32)&gt;0,Y35,$E$35-Z32),IF($E$31="Equal_Principal",$E$35,IF(Z34&gt;=-Y35,Y35,-Z34))))</f>
        <v>0</v>
      </c>
      <c r="AA33" s="113">
        <f>IF(OR('PL &amp; Cash Flow'!AA7&gt;'Dane inwestycji'!$F$31,'PL &amp; Cash Flow'!AA7&lt;'Dane inwestycji'!$F$32+1),IF($E$31="Sculpted",IF(AA34&gt;=-Z35,Z35,-AA34),0),IF($E$31="Annuity",IF(Z35-($E$35-AA32)&gt;0,Z35,$E$35-AA32),IF($E$31="Equal_Principal",$E$35,IF(AA34&gt;=-Z35,Z35,-AA34))))</f>
        <v>0</v>
      </c>
      <c r="AB33" s="113">
        <f>IF(OR('PL &amp; Cash Flow'!AB7&gt;'Dane inwestycji'!$F$31,'PL &amp; Cash Flow'!AB7&lt;'Dane inwestycji'!$F$32+1),IF($E$31="Sculpted",IF(AB34&gt;=-AA35,AA35,-AB34),0),IF($E$31="Annuity",IF(AA35-($E$35-AB32)&gt;0,AA35,$E$35-AB32),IF($E$31="Equal_Principal",$E$35,IF(AB34&gt;=-AA35,AA35,-AB34))))</f>
        <v>0</v>
      </c>
      <c r="AC33" s="113">
        <f>IF(OR('PL &amp; Cash Flow'!AC7&gt;'Dane inwestycji'!$F$31,'PL &amp; Cash Flow'!AC7&lt;'Dane inwestycji'!$F$32+1),IF($E$31="Sculpted",IF(AC34&gt;=-AB35,AB35,-AC34),0),IF($E$31="Annuity",IF(AB35-($E$35-AC32)&gt;0,AB35,$E$35-AC32),IF($E$31="Equal_Principal",$E$35,IF(AC34&gt;=-AB35,AB35,-AC34))))</f>
        <v>0</v>
      </c>
      <c r="AD33" s="113">
        <f>IF(OR('PL &amp; Cash Flow'!AD7&gt;'Dane inwestycji'!$F$31,'PL &amp; Cash Flow'!AD7&lt;'Dane inwestycji'!$F$32+1),IF($E$31="Sculpted",IF(AD34&gt;=-AC35,AC35,-AD34),0),IF($E$31="Annuity",IF(AC35-($E$35-AD32)&gt;0,AC35,$E$35-AD32),IF($E$31="Equal_Principal",$E$35,IF(AD34&gt;=-AC35,AC35,-AD34))))</f>
        <v>0</v>
      </c>
      <c r="AE33" s="113">
        <f>IF(OR('PL &amp; Cash Flow'!AE7&gt;'Dane inwestycji'!$F$31,'PL &amp; Cash Flow'!AE7&lt;'Dane inwestycji'!$F$32+1),IF($E$31="Sculpted",IF(AE34&gt;=-AD35,AD35,-AE34),0),IF($E$31="Annuity",IF(AD35-($E$35-AE32)&gt;0,AD35,$E$35-AE32),IF($E$31="Equal_Principal",$E$35,IF(AE34&gt;=-AD35,AD35,-AE34))))</f>
        <v>0</v>
      </c>
      <c r="AF33" s="113">
        <f>IF(OR('PL &amp; Cash Flow'!AF7&gt;'Dane inwestycji'!$F$31,'PL &amp; Cash Flow'!AF7&lt;'Dane inwestycji'!$F$32+1),IF($E$31="Sculpted",IF(AF34&gt;=-AE35,AE35,-AF34),0),IF($E$31="Annuity",IF(AE35-($E$35-AF32)&gt;0,AE35,$E$35-AF32),IF($E$31="Equal_Principal",$E$35,IF(AF34&gt;=-AE35,AE35,-AF34))))</f>
        <v>0</v>
      </c>
      <c r="AG33" s="113">
        <f>IF(OR('PL &amp; Cash Flow'!AG7&gt;'Dane inwestycji'!$F$31,'PL &amp; Cash Flow'!AG7&lt;'Dane inwestycji'!$F$32+1),IF($E$31="Sculpted",IF(AG34&gt;=-AF35,AF35,-AG34),0),IF($E$31="Annuity",IF(AF35-($E$35-AG32)&gt;0,AF35,$E$35-AG32),IF($E$31="Equal_Principal",$E$35,IF(AG34&gt;=-AF35,AF35,-AG34))))</f>
        <v>0</v>
      </c>
      <c r="AH33" s="113">
        <f>IF(OR('PL &amp; Cash Flow'!AH7&gt;'Dane inwestycji'!$F$31,'PL &amp; Cash Flow'!AH7&lt;'Dane inwestycji'!$F$32+1),IF($E$31="Sculpted",IF(AH34&gt;=-AG35,AG35,-AH34),0),IF($E$31="Annuity",IF(AG35-($E$35-AH32)&gt;0,AG35,$E$35-AH32),IF($E$31="Equal_Principal",$E$35,IF(AH34&gt;=-AG35,AG35,-AH34))))</f>
        <v>0</v>
      </c>
      <c r="AI33" s="113">
        <f>IF(OR('PL &amp; Cash Flow'!AI7&gt;'Dane inwestycji'!$F$31,'PL &amp; Cash Flow'!AI7&lt;'Dane inwestycji'!$F$32+1),IF($E$31="Sculpted",IF(AI34&gt;=-AH35,AH35,-AI34),0),IF($E$31="Annuity",IF(AH35-($E$35-AI32)&gt;0,AH35,$E$35-AI32),IF($E$31="Equal_Principal",$E$35,IF(AI34&gt;=-AH35,AH35,-AI34))))</f>
        <v>0</v>
      </c>
      <c r="AJ33" s="113">
        <f>IF(OR('PL &amp; Cash Flow'!AJ7&gt;'Dane inwestycji'!$F$31,'PL &amp; Cash Flow'!AJ7&lt;'Dane inwestycji'!$F$32+1),IF($E$31="Sculpted",IF(AJ34&gt;=-AI35,AI35,-AJ34),0),IF($E$31="Annuity",IF(AI35-($E$35-AJ32)&gt;0,AI35,$E$35-AJ32),IF($E$31="Equal_Principal",$E$35,IF(AJ34&gt;=-AI35,AI35,-AJ34))))</f>
        <v>0</v>
      </c>
      <c r="AK33" s="113">
        <f>IF(OR('PL &amp; Cash Flow'!AK7&gt;'Dane inwestycji'!$F$31,'PL &amp; Cash Flow'!AK7&lt;'Dane inwestycji'!$F$32+1),IF($E$31="Sculpted",IF(AK34&gt;=-AJ35,AJ35,-AK34),0),IF($E$31="Annuity",IF(AJ35-($E$35-AK32)&gt;0,AJ35,$E$35-AK32),IF($E$31="Equal_Principal",$E$35,IF(AK34&gt;=-AJ35,AJ35,-AK34))))</f>
        <v>0</v>
      </c>
      <c r="AL33" s="113">
        <f>IF(OR('PL &amp; Cash Flow'!AL7&gt;'Dane inwestycji'!$F$31,'PL &amp; Cash Flow'!AL7&lt;'Dane inwestycji'!$F$32+1),IF($E$31="Sculpted",IF(AL34&gt;=-AK35,AK35,-AL34),0),IF($E$31="Annuity",IF(AK35-($E$35-AL32)&gt;0,AK35,$E$35-AL32),IF($E$31="Equal_Principal",$E$35,IF(AL34&gt;=-AK35,AK35,-AL34))))</f>
        <v>0</v>
      </c>
      <c r="AM33" s="113">
        <f>IF(OR('PL &amp; Cash Flow'!AM7&gt;'Dane inwestycji'!$F$31,'PL &amp; Cash Flow'!AM7&lt;'Dane inwestycji'!$F$32+1),IF($E$31="Sculpted",IF(AM34&gt;=-AL35,AL35,-AM34),0),IF($E$31="Annuity",IF(AL35-($E$35-AM32)&gt;0,AL35,$E$35-AM32),IF($E$31="Equal_Principal",$E$35,IF(AM34&gt;=-AL35,AL35,-AM34))))</f>
        <v>0</v>
      </c>
      <c r="AN33" s="113">
        <f>IF(OR('PL &amp; Cash Flow'!AN7&gt;'Dane inwestycji'!$F$31,'PL &amp; Cash Flow'!AN7&lt;'Dane inwestycji'!$F$32+1),IF($E$31="Sculpted",IF(AN34&gt;=-AM35,AM35,-AN34),0),IF($E$31="Annuity",IF(AM35-($E$35-AN32)&gt;0,AM35,$E$35-AN32),IF($E$31="Equal_Principal",$E$35,IF(AN34&gt;=-AM35,AM35,-AN34))))</f>
        <v>0</v>
      </c>
      <c r="AO33" s="113">
        <f>IF(OR('PL &amp; Cash Flow'!AO7&gt;'Dane inwestycji'!$F$31,'PL &amp; Cash Flow'!AO7&lt;'Dane inwestycji'!$F$32+1),IF($E$31="Sculpted",IF(AO34&gt;=-AN35,AN35,-AO34),0),IF($E$31="Annuity",IF(AN35-($E$35-AO32)&gt;0,AN35,$E$35-AO32),IF($E$31="Equal_Principal",$E$35,IF(AO34&gt;=-AN35,AN35,-AO34))))</f>
        <v>0</v>
      </c>
      <c r="AP33" s="137">
        <f>IF(OR('PL &amp; Cash Flow'!AP7&gt;'Dane inwestycji'!$F$31,'PL &amp; Cash Flow'!AP7&lt;'Dane inwestycji'!$F$32+1),IF($E$31="Sculpted",IF(AP34&gt;=-AO35,AO35,-AP34),0),IF($E$31="Annuity",IF(AO35-($E$35-AP32)&gt;0,AO35,$E$35-AP32),IF($E$31="Equal_Principal",$E$35,IF(AP34&gt;=-AO35,AO35,-AP34))))</f>
        <v>0</v>
      </c>
    </row>
    <row r="34" spans="2:42" outlineLevel="1">
      <c r="B34" s="38" t="s">
        <v>52</v>
      </c>
      <c r="C34" s="19"/>
      <c r="D34" s="19" t="str">
        <f>LEFT('Dane inwestycji'!C34,11)</f>
        <v>DSCR Target</v>
      </c>
      <c r="E34" s="249">
        <f>'Dane inwestycji'!F34</f>
        <v>1.25</v>
      </c>
      <c r="F34" s="20"/>
      <c r="G34" s="39"/>
      <c r="H34" s="113">
        <f>IF(OR('PL &amp; Cash Flow'!H7&gt;'Dane inwestycji'!$F$24,'PL &amp; Cash Flow'!H7&lt;'Dane inwestycji'!$F$32+1),0,H53/$E$34+H32)</f>
        <v>0</v>
      </c>
      <c r="I34" s="113">
        <f>IF(OR('PL &amp; Cash Flow'!I7&gt;'Dane inwestycji'!$F$24,'PL &amp; Cash Flow'!I7&lt;'Dane inwestycji'!$F$32+1),0,I53/$E$34+I32)</f>
        <v>0</v>
      </c>
      <c r="J34" s="113">
        <f>IF(OR('PL &amp; Cash Flow'!J7&gt;'Dane inwestycji'!$F$24,'PL &amp; Cash Flow'!J7&lt;'Dane inwestycji'!$F$32+1),0,J53/$E$34+J32)</f>
        <v>0</v>
      </c>
      <c r="K34" s="113">
        <f>IF(OR('PL &amp; Cash Flow'!K7&gt;'Dane inwestycji'!$F$24,'PL &amp; Cash Flow'!K7&lt;'Dane inwestycji'!$F$32+1),0,K53/$E$34+K32)</f>
        <v>0</v>
      </c>
      <c r="L34" s="113">
        <f>IF(OR('PL &amp; Cash Flow'!L7&gt;'Dane inwestycji'!$F$24,'PL &amp; Cash Flow'!L7&lt;'Dane inwestycji'!$F$32+1),0,L53/$E$34+L32)</f>
        <v>0</v>
      </c>
      <c r="M34" s="113">
        <f>IF(OR('PL &amp; Cash Flow'!M7&gt;'Dane inwestycji'!$F$24,'PL &amp; Cash Flow'!M7&lt;'Dane inwestycji'!$F$32+1),0,M53/$E$34+M32)</f>
        <v>0</v>
      </c>
      <c r="N34" s="113">
        <f>IF(OR('PL &amp; Cash Flow'!N7&gt;'Dane inwestycji'!$F$24,'PL &amp; Cash Flow'!N7&lt;'Dane inwestycji'!$F$32+1),0,N53/$E$34+N32)</f>
        <v>0</v>
      </c>
      <c r="O34" s="113">
        <f>IF(OR('PL &amp; Cash Flow'!O7&gt;'Dane inwestycji'!$F$24,'PL &amp; Cash Flow'!O7&lt;'Dane inwestycji'!$F$32+1),0,O53/$E$34+O32)</f>
        <v>0</v>
      </c>
      <c r="P34" s="113">
        <f>IF(OR('PL &amp; Cash Flow'!P7&gt;'Dane inwestycji'!$F$24,'PL &amp; Cash Flow'!P7&lt;'Dane inwestycji'!$F$32+1),0,P53/$E$34+P32)</f>
        <v>0</v>
      </c>
      <c r="Q34" s="113">
        <f>IF(OR('PL &amp; Cash Flow'!Q7&gt;'Dane inwestycji'!$F$24,'PL &amp; Cash Flow'!Q7&lt;'Dane inwestycji'!$F$32+1),0,Q53/$E$34+Q32)</f>
        <v>0</v>
      </c>
      <c r="R34" s="113">
        <f>IF(OR('PL &amp; Cash Flow'!R7&gt;'Dane inwestycji'!$F$24,'PL &amp; Cash Flow'!R7&lt;'Dane inwestycji'!$F$32+1),0,R53/$E$34+R32)</f>
        <v>0</v>
      </c>
      <c r="S34" s="113">
        <f>IF(OR('PL &amp; Cash Flow'!S7&gt;'Dane inwestycji'!$F$24,'PL &amp; Cash Flow'!S7&lt;'Dane inwestycji'!$F$32+1),0,S53/$E$34+S32)</f>
        <v>0</v>
      </c>
      <c r="T34" s="113">
        <f>IF(OR('PL &amp; Cash Flow'!T7&gt;'Dane inwestycji'!$F$24,'PL &amp; Cash Flow'!T7&lt;'Dane inwestycji'!$F$32+1),0,T53/$E$34+T32)</f>
        <v>0</v>
      </c>
      <c r="U34" s="113">
        <f>IF(OR('PL &amp; Cash Flow'!U7&gt;'Dane inwestycji'!$F$24,'PL &amp; Cash Flow'!U7&lt;'Dane inwestycji'!$F$32+1),0,U53/$E$34+U32)</f>
        <v>0</v>
      </c>
      <c r="V34" s="113">
        <f>IF(OR('PL &amp; Cash Flow'!V7&gt;'Dane inwestycji'!$F$24,'PL &amp; Cash Flow'!V7&lt;'Dane inwestycji'!$F$32+1),0,V53/$E$34+V32)</f>
        <v>0</v>
      </c>
      <c r="W34" s="113">
        <f>IF(OR('PL &amp; Cash Flow'!W7&gt;'Dane inwestycji'!$F$24,'PL &amp; Cash Flow'!W7&lt;'Dane inwestycji'!$F$32+1),0,W53/$E$34+W32)</f>
        <v>0</v>
      </c>
      <c r="X34" s="113">
        <f>IF(OR('PL &amp; Cash Flow'!X7&gt;'Dane inwestycji'!$F$24,'PL &amp; Cash Flow'!X7&lt;'Dane inwestycji'!$F$32+1),0,X53/$E$34+X32)</f>
        <v>0</v>
      </c>
      <c r="Y34" s="113">
        <f>IF(OR('PL &amp; Cash Flow'!Y7&gt;'Dane inwestycji'!$F$24,'PL &amp; Cash Flow'!Y7&lt;'Dane inwestycji'!$F$32+1),0,Y53/$E$34+Y32)</f>
        <v>0</v>
      </c>
      <c r="Z34" s="113">
        <f>IF(OR('PL &amp; Cash Flow'!Z7&gt;'Dane inwestycji'!$F$24,'PL &amp; Cash Flow'!Z7&lt;'Dane inwestycji'!$F$32+1),0,Z53/$E$34+Z32)</f>
        <v>0</v>
      </c>
      <c r="AA34" s="113">
        <f>IF(OR('PL &amp; Cash Flow'!AA7&gt;'Dane inwestycji'!$F$24,'PL &amp; Cash Flow'!AA7&lt;'Dane inwestycji'!$F$32+1),0,AA53/$E$34+AA32)</f>
        <v>0</v>
      </c>
      <c r="AB34" s="113">
        <f>IF(OR('PL &amp; Cash Flow'!AB7&gt;'Dane inwestycji'!$F$24,'PL &amp; Cash Flow'!AB7&lt;'Dane inwestycji'!$F$32+1),0,AB53/$E$34+AB32)</f>
        <v>0</v>
      </c>
      <c r="AC34" s="113">
        <f>IF(OR('PL &amp; Cash Flow'!AC7&gt;'Dane inwestycji'!$F$24,'PL &amp; Cash Flow'!AC7&lt;'Dane inwestycji'!$F$32+1),0,AC53/$E$34+AC32)</f>
        <v>0</v>
      </c>
      <c r="AD34" s="113">
        <f>IF(OR('PL &amp; Cash Flow'!AD7&gt;'Dane inwestycji'!$F$24,'PL &amp; Cash Flow'!AD7&lt;'Dane inwestycji'!$F$32+1),0,AD53/$E$34+AD32)</f>
        <v>0</v>
      </c>
      <c r="AE34" s="113">
        <f>IF(OR('PL &amp; Cash Flow'!AE7&gt;'Dane inwestycji'!$F$24,'PL &amp; Cash Flow'!AE7&lt;'Dane inwestycji'!$F$32+1),0,AE53/$E$34+AE32)</f>
        <v>0</v>
      </c>
      <c r="AF34" s="113">
        <f>IF(OR('PL &amp; Cash Flow'!AF7&gt;'Dane inwestycji'!$F$24,'PL &amp; Cash Flow'!AF7&lt;'Dane inwestycji'!$F$32+1),0,AF53/$E$34+AF32)</f>
        <v>0</v>
      </c>
      <c r="AG34" s="113">
        <f>IF(OR('PL &amp; Cash Flow'!AG7&gt;'Dane inwestycji'!$F$24,'PL &amp; Cash Flow'!AG7&lt;'Dane inwestycji'!$F$32+1),0,AG53/$E$34+AG32)</f>
        <v>0</v>
      </c>
      <c r="AH34" s="113">
        <f>IF(OR('PL &amp; Cash Flow'!AH7&gt;'Dane inwestycji'!$F$24,'PL &amp; Cash Flow'!AH7&lt;'Dane inwestycji'!$F$32+1),0,AH53/$E$34+AH32)</f>
        <v>0</v>
      </c>
      <c r="AI34" s="113">
        <f>IF(OR('PL &amp; Cash Flow'!AI7&gt;'Dane inwestycji'!$F$24,'PL &amp; Cash Flow'!AI7&lt;'Dane inwestycji'!$F$32+1),0,AI53/$E$34+AI32)</f>
        <v>0</v>
      </c>
      <c r="AJ34" s="113">
        <f>IF(OR('PL &amp; Cash Flow'!AJ7&gt;'Dane inwestycji'!$F$24,'PL &amp; Cash Flow'!AJ7&lt;'Dane inwestycji'!$F$32+1),0,AJ53/$E$34+AJ32)</f>
        <v>0</v>
      </c>
      <c r="AK34" s="113">
        <f>IF(OR('PL &amp; Cash Flow'!AK7&gt;'Dane inwestycji'!$F$24,'PL &amp; Cash Flow'!AK7&lt;'Dane inwestycji'!$F$32+1),0,AK53/$E$34+AK32)</f>
        <v>0</v>
      </c>
      <c r="AL34" s="113">
        <f>IF(OR('PL &amp; Cash Flow'!AL7&gt;'Dane inwestycji'!$F$24,'PL &amp; Cash Flow'!AL7&lt;'Dane inwestycji'!$F$32+1),0,AL53/$E$34+AL32)</f>
        <v>0</v>
      </c>
      <c r="AM34" s="113">
        <f>IF(OR('PL &amp; Cash Flow'!AM7&gt;'Dane inwestycji'!$F$24,'PL &amp; Cash Flow'!AM7&lt;'Dane inwestycji'!$F$32+1),0,AM53/$E$34+AM32)</f>
        <v>0</v>
      </c>
      <c r="AN34" s="113">
        <f>IF(OR('PL &amp; Cash Flow'!AN7&gt;'Dane inwestycji'!$F$24,'PL &amp; Cash Flow'!AN7&lt;'Dane inwestycji'!$F$32+1),0,AN53/$E$34+AN32)</f>
        <v>0</v>
      </c>
      <c r="AO34" s="113">
        <f>IF(OR('PL &amp; Cash Flow'!AO7&gt;'Dane inwestycji'!$F$24,'PL &amp; Cash Flow'!AO7&lt;'Dane inwestycji'!$F$32+1),0,AO53/$E$34+AO32)</f>
        <v>0</v>
      </c>
      <c r="AP34" s="137">
        <f>IF(OR('PL &amp; Cash Flow'!AP7&gt;'Dane inwestycji'!$F$24,'PL &amp; Cash Flow'!AP7&lt;'Dane inwestycji'!$F$32+1),0,AP53/$E$34+AP32)</f>
        <v>0</v>
      </c>
    </row>
    <row r="35" spans="2:42" outlineLevel="1">
      <c r="B35" s="38" t="s">
        <v>124</v>
      </c>
      <c r="C35" s="19"/>
      <c r="D35" s="19" t="str">
        <f>IF('Dane inwestycji'!F33="Equal_Principal", "Annual Repayment Dept",IF('Dane inwestycji'!F33="Annuity","Annuity Payment", "Sculpted Payments"))</f>
        <v>Annual Repayment Dept</v>
      </c>
      <c r="E35" s="19" t="e">
        <f>IF(E31="Annuity",-PMT(E30,E32-E33,G35,,0),IF(E31="Equal_Principal",G35/(E32-E33),""))</f>
        <v>#DIV/0!</v>
      </c>
      <c r="F35" s="20"/>
      <c r="G35" s="105">
        <f>G11</f>
        <v>0</v>
      </c>
      <c r="H35" s="114">
        <f>ROUND(G35-H33,5)</f>
        <v>0</v>
      </c>
      <c r="I35" s="115">
        <f t="shared" ref="I35:AF35" si="14">ROUND(H35-I33,5)</f>
        <v>0</v>
      </c>
      <c r="J35" s="115">
        <f t="shared" si="14"/>
        <v>0</v>
      </c>
      <c r="K35" s="115">
        <f t="shared" si="14"/>
        <v>0</v>
      </c>
      <c r="L35" s="115">
        <f t="shared" si="14"/>
        <v>0</v>
      </c>
      <c r="M35" s="115">
        <f t="shared" si="14"/>
        <v>0</v>
      </c>
      <c r="N35" s="115">
        <f t="shared" si="14"/>
        <v>0</v>
      </c>
      <c r="O35" s="115">
        <f t="shared" si="14"/>
        <v>0</v>
      </c>
      <c r="P35" s="115">
        <f t="shared" si="14"/>
        <v>0</v>
      </c>
      <c r="Q35" s="115">
        <f t="shared" si="14"/>
        <v>0</v>
      </c>
      <c r="R35" s="115">
        <f t="shared" si="14"/>
        <v>0</v>
      </c>
      <c r="S35" s="115">
        <f t="shared" si="14"/>
        <v>0</v>
      </c>
      <c r="T35" s="115">
        <f t="shared" si="14"/>
        <v>0</v>
      </c>
      <c r="U35" s="115">
        <f t="shared" si="14"/>
        <v>0</v>
      </c>
      <c r="V35" s="115">
        <f t="shared" si="14"/>
        <v>0</v>
      </c>
      <c r="W35" s="115">
        <f t="shared" si="14"/>
        <v>0</v>
      </c>
      <c r="X35" s="115">
        <f t="shared" si="14"/>
        <v>0</v>
      </c>
      <c r="Y35" s="115">
        <f t="shared" si="14"/>
        <v>0</v>
      </c>
      <c r="Z35" s="115">
        <f t="shared" si="14"/>
        <v>0</v>
      </c>
      <c r="AA35" s="115">
        <f t="shared" si="14"/>
        <v>0</v>
      </c>
      <c r="AB35" s="115">
        <f t="shared" si="14"/>
        <v>0</v>
      </c>
      <c r="AC35" s="115">
        <f t="shared" si="14"/>
        <v>0</v>
      </c>
      <c r="AD35" s="115">
        <f t="shared" si="14"/>
        <v>0</v>
      </c>
      <c r="AE35" s="115">
        <f t="shared" si="14"/>
        <v>0</v>
      </c>
      <c r="AF35" s="115">
        <f t="shared" si="14"/>
        <v>0</v>
      </c>
      <c r="AG35" s="115">
        <f t="shared" ref="AG35:AP35" si="15">ROUND(AF35-AG33,5)</f>
        <v>0</v>
      </c>
      <c r="AH35" s="115">
        <f t="shared" si="15"/>
        <v>0</v>
      </c>
      <c r="AI35" s="115">
        <f t="shared" si="15"/>
        <v>0</v>
      </c>
      <c r="AJ35" s="115">
        <f t="shared" si="15"/>
        <v>0</v>
      </c>
      <c r="AK35" s="115">
        <f t="shared" si="15"/>
        <v>0</v>
      </c>
      <c r="AL35" s="115">
        <f t="shared" si="15"/>
        <v>0</v>
      </c>
      <c r="AM35" s="115">
        <f t="shared" si="15"/>
        <v>0</v>
      </c>
      <c r="AN35" s="115">
        <f t="shared" si="15"/>
        <v>0</v>
      </c>
      <c r="AO35" s="115">
        <f t="shared" si="15"/>
        <v>0</v>
      </c>
      <c r="AP35" s="138">
        <f t="shared" si="15"/>
        <v>0</v>
      </c>
    </row>
    <row r="36" spans="2:42">
      <c r="B36" s="147" t="s">
        <v>16</v>
      </c>
      <c r="C36" s="148" t="s">
        <v>61</v>
      </c>
      <c r="D36" s="153"/>
      <c r="E36" s="153"/>
      <c r="F36" s="154">
        <f>SUM(H36:AP36)</f>
        <v>0.36302464499999998</v>
      </c>
      <c r="G36" s="150">
        <v>0</v>
      </c>
      <c r="H36" s="151">
        <f t="shared" ref="H36:AF36" si="16">H28+H32</f>
        <v>0.36302464499999998</v>
      </c>
      <c r="I36" s="152">
        <f t="shared" si="16"/>
        <v>0</v>
      </c>
      <c r="J36" s="152">
        <f t="shared" si="16"/>
        <v>0</v>
      </c>
      <c r="K36" s="152">
        <f t="shared" si="16"/>
        <v>0</v>
      </c>
      <c r="L36" s="152">
        <f t="shared" si="16"/>
        <v>0</v>
      </c>
      <c r="M36" s="152">
        <f t="shared" si="16"/>
        <v>0</v>
      </c>
      <c r="N36" s="152">
        <f t="shared" si="16"/>
        <v>0</v>
      </c>
      <c r="O36" s="152">
        <f t="shared" si="16"/>
        <v>0</v>
      </c>
      <c r="P36" s="152">
        <f t="shared" si="16"/>
        <v>0</v>
      </c>
      <c r="Q36" s="152">
        <f t="shared" si="16"/>
        <v>0</v>
      </c>
      <c r="R36" s="152">
        <f t="shared" si="16"/>
        <v>0</v>
      </c>
      <c r="S36" s="152">
        <f t="shared" si="16"/>
        <v>0</v>
      </c>
      <c r="T36" s="152">
        <f t="shared" si="16"/>
        <v>0</v>
      </c>
      <c r="U36" s="152">
        <f t="shared" si="16"/>
        <v>0</v>
      </c>
      <c r="V36" s="152">
        <f t="shared" si="16"/>
        <v>0</v>
      </c>
      <c r="W36" s="152">
        <f t="shared" si="16"/>
        <v>0</v>
      </c>
      <c r="X36" s="152">
        <f t="shared" si="16"/>
        <v>0</v>
      </c>
      <c r="Y36" s="152">
        <f t="shared" si="16"/>
        <v>0</v>
      </c>
      <c r="Z36" s="152">
        <f t="shared" si="16"/>
        <v>0</v>
      </c>
      <c r="AA36" s="152">
        <f t="shared" si="16"/>
        <v>0</v>
      </c>
      <c r="AB36" s="152">
        <f t="shared" si="16"/>
        <v>0</v>
      </c>
      <c r="AC36" s="152">
        <f t="shared" si="16"/>
        <v>0</v>
      </c>
      <c r="AD36" s="152">
        <f t="shared" si="16"/>
        <v>0</v>
      </c>
      <c r="AE36" s="152">
        <f t="shared" si="16"/>
        <v>0</v>
      </c>
      <c r="AF36" s="152">
        <f t="shared" si="16"/>
        <v>0</v>
      </c>
      <c r="AG36" s="152">
        <f t="shared" ref="AG36:AP36" si="17">AG28+AG32</f>
        <v>0</v>
      </c>
      <c r="AH36" s="152">
        <f t="shared" si="17"/>
        <v>0</v>
      </c>
      <c r="AI36" s="152">
        <f t="shared" si="17"/>
        <v>0</v>
      </c>
      <c r="AJ36" s="152">
        <f t="shared" si="17"/>
        <v>0</v>
      </c>
      <c r="AK36" s="152">
        <f t="shared" si="17"/>
        <v>0</v>
      </c>
      <c r="AL36" s="152">
        <f t="shared" si="17"/>
        <v>0</v>
      </c>
      <c r="AM36" s="152">
        <f t="shared" si="17"/>
        <v>0</v>
      </c>
      <c r="AN36" s="152">
        <f t="shared" si="17"/>
        <v>0</v>
      </c>
      <c r="AO36" s="152">
        <f t="shared" si="17"/>
        <v>0</v>
      </c>
      <c r="AP36" s="155">
        <f t="shared" si="17"/>
        <v>0</v>
      </c>
    </row>
    <row r="37" spans="2:42">
      <c r="B37" s="34" t="s">
        <v>125</v>
      </c>
      <c r="C37" s="35"/>
      <c r="D37" s="35"/>
      <c r="E37" s="35"/>
      <c r="F37" s="36">
        <f>F36/$F$18</f>
        <v>1</v>
      </c>
      <c r="G37" s="141">
        <v>0</v>
      </c>
      <c r="H37" s="98">
        <f t="shared" ref="H37:AF37" si="18">IFERROR(H36/H18,0)</f>
        <v>1</v>
      </c>
      <c r="I37" s="36">
        <f t="shared" si="18"/>
        <v>0</v>
      </c>
      <c r="J37" s="36">
        <f t="shared" si="18"/>
        <v>0</v>
      </c>
      <c r="K37" s="36">
        <f t="shared" si="18"/>
        <v>0</v>
      </c>
      <c r="L37" s="36">
        <f t="shared" si="18"/>
        <v>0</v>
      </c>
      <c r="M37" s="36">
        <f t="shared" si="18"/>
        <v>0</v>
      </c>
      <c r="N37" s="36">
        <f t="shared" si="18"/>
        <v>0</v>
      </c>
      <c r="O37" s="36">
        <f t="shared" si="18"/>
        <v>0</v>
      </c>
      <c r="P37" s="36">
        <f t="shared" si="18"/>
        <v>0</v>
      </c>
      <c r="Q37" s="36">
        <f t="shared" si="18"/>
        <v>0</v>
      </c>
      <c r="R37" s="36">
        <f t="shared" si="18"/>
        <v>0</v>
      </c>
      <c r="S37" s="36">
        <f t="shared" si="18"/>
        <v>0</v>
      </c>
      <c r="T37" s="36">
        <f t="shared" si="18"/>
        <v>0</v>
      </c>
      <c r="U37" s="36">
        <f t="shared" si="18"/>
        <v>0</v>
      </c>
      <c r="V37" s="36">
        <f t="shared" si="18"/>
        <v>0</v>
      </c>
      <c r="W37" s="36">
        <f t="shared" si="18"/>
        <v>0</v>
      </c>
      <c r="X37" s="36">
        <f t="shared" si="18"/>
        <v>0</v>
      </c>
      <c r="Y37" s="36">
        <f t="shared" si="18"/>
        <v>0</v>
      </c>
      <c r="Z37" s="36">
        <f t="shared" si="18"/>
        <v>0</v>
      </c>
      <c r="AA37" s="36">
        <f t="shared" si="18"/>
        <v>0</v>
      </c>
      <c r="AB37" s="36">
        <f t="shared" si="18"/>
        <v>0</v>
      </c>
      <c r="AC37" s="36">
        <f t="shared" si="18"/>
        <v>0</v>
      </c>
      <c r="AD37" s="36">
        <f t="shared" si="18"/>
        <v>0</v>
      </c>
      <c r="AE37" s="36">
        <f t="shared" si="18"/>
        <v>0</v>
      </c>
      <c r="AF37" s="36">
        <f t="shared" si="18"/>
        <v>0</v>
      </c>
      <c r="AG37" s="36">
        <f t="shared" ref="AG37:AP37" si="19">IFERROR(AG36/AG18,0)</f>
        <v>0</v>
      </c>
      <c r="AH37" s="36">
        <f t="shared" si="19"/>
        <v>0</v>
      </c>
      <c r="AI37" s="36">
        <f t="shared" si="19"/>
        <v>0</v>
      </c>
      <c r="AJ37" s="36">
        <f t="shared" si="19"/>
        <v>0</v>
      </c>
      <c r="AK37" s="36">
        <f t="shared" si="19"/>
        <v>0</v>
      </c>
      <c r="AL37" s="36">
        <f t="shared" si="19"/>
        <v>0</v>
      </c>
      <c r="AM37" s="36">
        <f t="shared" si="19"/>
        <v>0</v>
      </c>
      <c r="AN37" s="36">
        <f t="shared" si="19"/>
        <v>0</v>
      </c>
      <c r="AO37" s="36">
        <f t="shared" si="19"/>
        <v>0</v>
      </c>
      <c r="AP37" s="220">
        <f t="shared" si="19"/>
        <v>0</v>
      </c>
    </row>
    <row r="38" spans="2:42">
      <c r="B38" s="25"/>
      <c r="C38" s="24"/>
      <c r="D38" s="24"/>
      <c r="E38" s="24"/>
      <c r="F38" s="24"/>
      <c r="G38" s="21"/>
      <c r="H38" s="22"/>
      <c r="I38" s="23"/>
      <c r="J38" s="23"/>
      <c r="K38" s="23"/>
      <c r="AP38" s="134"/>
    </row>
    <row r="39" spans="2:42">
      <c r="B39" s="38" t="s">
        <v>126</v>
      </c>
      <c r="C39" s="24" t="s">
        <v>61</v>
      </c>
      <c r="D39" s="19" t="s">
        <v>33</v>
      </c>
      <c r="E39" s="104">
        <f>'Dane inwestycji'!F21</f>
        <v>0.19</v>
      </c>
      <c r="F39" s="20">
        <f>SUM(H39:AP39)</f>
        <v>-6.8974682549999999E-2</v>
      </c>
      <c r="G39" s="22">
        <v>0</v>
      </c>
      <c r="H39" s="111">
        <f>IF((-H36*$E$39)&gt;0,0,-H36*$E$39)</f>
        <v>-6.8974682549999999E-2</v>
      </c>
      <c r="I39" s="110">
        <f t="shared" ref="I39:AA39" si="20">IF((-I36*$E$39)&gt;0,0,-I36*$E$39)</f>
        <v>0</v>
      </c>
      <c r="J39" s="110">
        <f t="shared" si="20"/>
        <v>0</v>
      </c>
      <c r="K39" s="110">
        <f t="shared" si="20"/>
        <v>0</v>
      </c>
      <c r="L39" s="110">
        <f t="shared" si="20"/>
        <v>0</v>
      </c>
      <c r="M39" s="110">
        <f t="shared" si="20"/>
        <v>0</v>
      </c>
      <c r="N39" s="110">
        <f t="shared" si="20"/>
        <v>0</v>
      </c>
      <c r="O39" s="110">
        <f t="shared" si="20"/>
        <v>0</v>
      </c>
      <c r="P39" s="110">
        <f t="shared" si="20"/>
        <v>0</v>
      </c>
      <c r="Q39" s="110">
        <f t="shared" si="20"/>
        <v>0</v>
      </c>
      <c r="R39" s="110">
        <f t="shared" si="20"/>
        <v>0</v>
      </c>
      <c r="S39" s="110">
        <f t="shared" si="20"/>
        <v>0</v>
      </c>
      <c r="T39" s="110">
        <f t="shared" si="20"/>
        <v>0</v>
      </c>
      <c r="U39" s="110">
        <f t="shared" si="20"/>
        <v>0</v>
      </c>
      <c r="V39" s="110">
        <f t="shared" si="20"/>
        <v>0</v>
      </c>
      <c r="W39" s="110">
        <f t="shared" si="20"/>
        <v>0</v>
      </c>
      <c r="X39" s="110">
        <f t="shared" si="20"/>
        <v>0</v>
      </c>
      <c r="Y39" s="110">
        <f t="shared" si="20"/>
        <v>0</v>
      </c>
      <c r="Z39" s="110">
        <f t="shared" si="20"/>
        <v>0</v>
      </c>
      <c r="AA39" s="110">
        <f t="shared" si="20"/>
        <v>0</v>
      </c>
      <c r="AB39" s="110">
        <f>IF((-AB36*$E$39)&gt;0,0,-AB36*$E$39)</f>
        <v>0</v>
      </c>
      <c r="AC39" s="110">
        <f>IF((-AC36*$E$39)&gt;0,0,-AC36*$E$39)</f>
        <v>0</v>
      </c>
      <c r="AD39" s="110">
        <f>IF((-AD36*$E$39)&gt;0,0,-AD36*$E$39)</f>
        <v>0</v>
      </c>
      <c r="AE39" s="110">
        <f>IF((-AE36*$E$39)&gt;0,0,-AE36*$E$39)</f>
        <v>0</v>
      </c>
      <c r="AF39" s="110">
        <f>IF((-AF36*$E$39)&gt;0,0,-AF36*$E$39)</f>
        <v>0</v>
      </c>
      <c r="AG39" s="110">
        <f t="shared" ref="AG39:AP39" si="21">IF((-AG36*$E$39)&gt;0,0,-AG36*$E$39)</f>
        <v>0</v>
      </c>
      <c r="AH39" s="110">
        <f t="shared" si="21"/>
        <v>0</v>
      </c>
      <c r="AI39" s="110">
        <f t="shared" si="21"/>
        <v>0</v>
      </c>
      <c r="AJ39" s="110">
        <f t="shared" si="21"/>
        <v>0</v>
      </c>
      <c r="AK39" s="110">
        <f t="shared" si="21"/>
        <v>0</v>
      </c>
      <c r="AL39" s="110">
        <f t="shared" si="21"/>
        <v>0</v>
      </c>
      <c r="AM39" s="110">
        <f t="shared" si="21"/>
        <v>0</v>
      </c>
      <c r="AN39" s="110">
        <f t="shared" si="21"/>
        <v>0</v>
      </c>
      <c r="AO39" s="110">
        <f t="shared" si="21"/>
        <v>0</v>
      </c>
      <c r="AP39" s="136">
        <f t="shared" si="21"/>
        <v>0</v>
      </c>
    </row>
    <row r="40" spans="2:42">
      <c r="B40" s="41"/>
      <c r="C40" s="19"/>
      <c r="D40" s="19"/>
      <c r="E40" s="19"/>
      <c r="F40" s="20"/>
      <c r="G40" s="21"/>
      <c r="H40" s="22"/>
      <c r="I40" s="23"/>
      <c r="J40" s="23"/>
      <c r="K40" s="23"/>
      <c r="AP40" s="134"/>
    </row>
    <row r="41" spans="2:42">
      <c r="B41" s="42" t="s">
        <v>127</v>
      </c>
      <c r="C41" s="43"/>
      <c r="D41" s="43"/>
      <c r="E41" s="43"/>
      <c r="F41" s="116">
        <f>SUM(H41:AP41)</f>
        <v>0.29404996244999998</v>
      </c>
      <c r="G41" s="44">
        <v>0</v>
      </c>
      <c r="H41" s="45">
        <f>H36+H39</f>
        <v>0.29404996244999998</v>
      </c>
      <c r="I41" s="106">
        <f>I36+I39</f>
        <v>0</v>
      </c>
      <c r="J41" s="106">
        <f t="shared" ref="J41:AA41" si="22">J36+J39</f>
        <v>0</v>
      </c>
      <c r="K41" s="106">
        <f t="shared" si="22"/>
        <v>0</v>
      </c>
      <c r="L41" s="106">
        <f t="shared" si="22"/>
        <v>0</v>
      </c>
      <c r="M41" s="106">
        <f t="shared" si="22"/>
        <v>0</v>
      </c>
      <c r="N41" s="106">
        <f t="shared" si="22"/>
        <v>0</v>
      </c>
      <c r="O41" s="106">
        <f t="shared" si="22"/>
        <v>0</v>
      </c>
      <c r="P41" s="106">
        <f t="shared" si="22"/>
        <v>0</v>
      </c>
      <c r="Q41" s="106">
        <f t="shared" si="22"/>
        <v>0</v>
      </c>
      <c r="R41" s="106">
        <f t="shared" si="22"/>
        <v>0</v>
      </c>
      <c r="S41" s="106">
        <f t="shared" si="22"/>
        <v>0</v>
      </c>
      <c r="T41" s="106">
        <f t="shared" si="22"/>
        <v>0</v>
      </c>
      <c r="U41" s="106">
        <f t="shared" si="22"/>
        <v>0</v>
      </c>
      <c r="V41" s="106">
        <f t="shared" si="22"/>
        <v>0</v>
      </c>
      <c r="W41" s="106">
        <f t="shared" si="22"/>
        <v>0</v>
      </c>
      <c r="X41" s="106">
        <f t="shared" si="22"/>
        <v>0</v>
      </c>
      <c r="Y41" s="106">
        <f t="shared" si="22"/>
        <v>0</v>
      </c>
      <c r="Z41" s="106">
        <f t="shared" si="22"/>
        <v>0</v>
      </c>
      <c r="AA41" s="106">
        <f t="shared" si="22"/>
        <v>0</v>
      </c>
      <c r="AB41" s="106">
        <f>AB36+AB39</f>
        <v>0</v>
      </c>
      <c r="AC41" s="106">
        <f>AC36+AC39</f>
        <v>0</v>
      </c>
      <c r="AD41" s="106">
        <f>AD36+AD39</f>
        <v>0</v>
      </c>
      <c r="AE41" s="106">
        <f>AE36+AE39</f>
        <v>0</v>
      </c>
      <c r="AF41" s="106">
        <f>AF36+AF39</f>
        <v>0</v>
      </c>
      <c r="AG41" s="106">
        <f t="shared" ref="AG41:AP41" si="23">AG36+AG39</f>
        <v>0</v>
      </c>
      <c r="AH41" s="106">
        <f t="shared" si="23"/>
        <v>0</v>
      </c>
      <c r="AI41" s="106">
        <f t="shared" si="23"/>
        <v>0</v>
      </c>
      <c r="AJ41" s="106">
        <f t="shared" si="23"/>
        <v>0</v>
      </c>
      <c r="AK41" s="106">
        <f t="shared" si="23"/>
        <v>0</v>
      </c>
      <c r="AL41" s="106">
        <f t="shared" si="23"/>
        <v>0</v>
      </c>
      <c r="AM41" s="106">
        <f t="shared" si="23"/>
        <v>0</v>
      </c>
      <c r="AN41" s="106">
        <f t="shared" si="23"/>
        <v>0</v>
      </c>
      <c r="AO41" s="106">
        <f t="shared" si="23"/>
        <v>0</v>
      </c>
      <c r="AP41" s="44">
        <f t="shared" si="23"/>
        <v>0</v>
      </c>
    </row>
    <row r="42" spans="2:42">
      <c r="B42" s="46"/>
      <c r="C42" s="19"/>
      <c r="D42" s="19"/>
      <c r="E42" s="19"/>
      <c r="F42" s="20"/>
      <c r="AP42" s="134"/>
    </row>
    <row r="43" spans="2:42">
      <c r="B43" s="46"/>
      <c r="C43" s="19"/>
      <c r="D43" s="19"/>
      <c r="E43" s="19"/>
      <c r="F43" s="20"/>
      <c r="G43" s="12" t="s">
        <v>24</v>
      </c>
      <c r="H43" s="13" t="s">
        <v>23</v>
      </c>
      <c r="AP43" s="134"/>
    </row>
    <row r="44" spans="2:42">
      <c r="B44" s="14" t="s">
        <v>21</v>
      </c>
      <c r="C44" s="15"/>
      <c r="D44" s="15"/>
      <c r="E44" s="15"/>
      <c r="F44" s="15"/>
      <c r="G44" s="16">
        <v>2026</v>
      </c>
      <c r="H44" s="16">
        <v>2027</v>
      </c>
      <c r="I44" s="16">
        <v>2028</v>
      </c>
      <c r="J44" s="16">
        <v>2029</v>
      </c>
      <c r="K44" s="16">
        <v>2030</v>
      </c>
      <c r="L44" s="16">
        <v>2031</v>
      </c>
      <c r="M44" s="16">
        <v>2032</v>
      </c>
      <c r="N44" s="16">
        <v>2033</v>
      </c>
      <c r="O44" s="16">
        <v>2034</v>
      </c>
      <c r="P44" s="16">
        <v>2035</v>
      </c>
      <c r="Q44" s="16">
        <v>2036</v>
      </c>
      <c r="R44" s="16">
        <v>2037</v>
      </c>
      <c r="S44" s="16">
        <v>2038</v>
      </c>
      <c r="T44" s="16">
        <v>2039</v>
      </c>
      <c r="U44" s="16">
        <v>2040</v>
      </c>
      <c r="V44" s="16">
        <v>2041</v>
      </c>
      <c r="W44" s="16">
        <v>2042</v>
      </c>
      <c r="X44" s="16">
        <v>2043</v>
      </c>
      <c r="Y44" s="16">
        <v>2044</v>
      </c>
      <c r="Z44" s="16">
        <v>2045</v>
      </c>
      <c r="AA44" s="16">
        <v>2046</v>
      </c>
      <c r="AB44" s="16">
        <v>2047</v>
      </c>
      <c r="AC44" s="16">
        <v>2048</v>
      </c>
      <c r="AD44" s="16">
        <v>2049</v>
      </c>
      <c r="AE44" s="16">
        <v>2050</v>
      </c>
      <c r="AF44" s="16">
        <v>2051</v>
      </c>
      <c r="AG44" s="16">
        <v>2044</v>
      </c>
      <c r="AH44" s="16">
        <v>2045</v>
      </c>
      <c r="AI44" s="16">
        <v>2046</v>
      </c>
      <c r="AJ44" s="16">
        <v>2047</v>
      </c>
      <c r="AK44" s="16">
        <v>2048</v>
      </c>
      <c r="AL44" s="16">
        <v>2049</v>
      </c>
      <c r="AM44" s="16">
        <v>2050</v>
      </c>
      <c r="AN44" s="16">
        <v>2051</v>
      </c>
      <c r="AO44" s="16">
        <v>2052</v>
      </c>
      <c r="AP44" s="16">
        <v>2053</v>
      </c>
    </row>
    <row r="45" spans="2:42">
      <c r="B45" s="47"/>
      <c r="C45" s="24"/>
      <c r="D45" s="24"/>
      <c r="E45" s="24"/>
      <c r="F45" s="24"/>
      <c r="G45" s="18"/>
      <c r="AP45" s="134"/>
    </row>
    <row r="46" spans="2:42">
      <c r="B46" s="48" t="s">
        <v>128</v>
      </c>
      <c r="C46" s="24"/>
      <c r="D46" s="24"/>
      <c r="E46" s="24"/>
      <c r="F46" s="20">
        <f>SUM(H46:AP46)</f>
        <v>0.36302464499999998</v>
      </c>
      <c r="G46" s="21">
        <v>0</v>
      </c>
      <c r="H46" s="110">
        <f t="shared" ref="H46:AF46" si="24">H18</f>
        <v>0.36302464499999998</v>
      </c>
      <c r="I46" s="110">
        <f t="shared" si="24"/>
        <v>0</v>
      </c>
      <c r="J46" s="110">
        <f t="shared" si="24"/>
        <v>0</v>
      </c>
      <c r="K46" s="110">
        <f t="shared" si="24"/>
        <v>0</v>
      </c>
      <c r="L46" s="110">
        <f t="shared" si="24"/>
        <v>0</v>
      </c>
      <c r="M46" s="110">
        <f t="shared" si="24"/>
        <v>0</v>
      </c>
      <c r="N46" s="110">
        <f t="shared" si="24"/>
        <v>0</v>
      </c>
      <c r="O46" s="110">
        <f t="shared" si="24"/>
        <v>0</v>
      </c>
      <c r="P46" s="110">
        <f t="shared" si="24"/>
        <v>0</v>
      </c>
      <c r="Q46" s="110">
        <f t="shared" si="24"/>
        <v>0</v>
      </c>
      <c r="R46" s="110">
        <f t="shared" si="24"/>
        <v>0</v>
      </c>
      <c r="S46" s="110">
        <f t="shared" si="24"/>
        <v>0</v>
      </c>
      <c r="T46" s="110">
        <f t="shared" si="24"/>
        <v>0</v>
      </c>
      <c r="U46" s="110">
        <f t="shared" si="24"/>
        <v>0</v>
      </c>
      <c r="V46" s="110">
        <f t="shared" si="24"/>
        <v>0</v>
      </c>
      <c r="W46" s="110">
        <f t="shared" si="24"/>
        <v>0</v>
      </c>
      <c r="X46" s="110">
        <f t="shared" si="24"/>
        <v>0</v>
      </c>
      <c r="Y46" s="110">
        <f t="shared" si="24"/>
        <v>0</v>
      </c>
      <c r="Z46" s="110">
        <f t="shared" si="24"/>
        <v>0</v>
      </c>
      <c r="AA46" s="110">
        <f t="shared" si="24"/>
        <v>0</v>
      </c>
      <c r="AB46" s="110">
        <f t="shared" si="24"/>
        <v>0</v>
      </c>
      <c r="AC46" s="110">
        <f t="shared" si="24"/>
        <v>0</v>
      </c>
      <c r="AD46" s="110">
        <f t="shared" si="24"/>
        <v>0</v>
      </c>
      <c r="AE46" s="110">
        <f t="shared" si="24"/>
        <v>0</v>
      </c>
      <c r="AF46" s="110">
        <f t="shared" si="24"/>
        <v>0</v>
      </c>
      <c r="AG46" s="110">
        <f t="shared" ref="AG46:AP46" si="25">AG18</f>
        <v>0</v>
      </c>
      <c r="AH46" s="110">
        <f t="shared" si="25"/>
        <v>0</v>
      </c>
      <c r="AI46" s="110">
        <f t="shared" si="25"/>
        <v>0</v>
      </c>
      <c r="AJ46" s="110">
        <f t="shared" si="25"/>
        <v>0</v>
      </c>
      <c r="AK46" s="110">
        <f t="shared" si="25"/>
        <v>0</v>
      </c>
      <c r="AL46" s="110">
        <f t="shared" si="25"/>
        <v>0</v>
      </c>
      <c r="AM46" s="110">
        <f t="shared" si="25"/>
        <v>0</v>
      </c>
      <c r="AN46" s="110">
        <f t="shared" si="25"/>
        <v>0</v>
      </c>
      <c r="AO46" s="110">
        <f t="shared" si="25"/>
        <v>0</v>
      </c>
      <c r="AP46" s="136">
        <f t="shared" si="25"/>
        <v>0</v>
      </c>
    </row>
    <row r="47" spans="2:42">
      <c r="B47" s="48" t="s">
        <v>129</v>
      </c>
      <c r="C47" s="24"/>
      <c r="D47" s="24"/>
      <c r="E47" s="24"/>
      <c r="F47" s="20">
        <f>SUM(H47:AP47)</f>
        <v>0</v>
      </c>
      <c r="G47" s="21">
        <v>0</v>
      </c>
      <c r="H47" s="110">
        <f t="shared" ref="H47:AF47" si="26">SUM(H21:H22)</f>
        <v>0</v>
      </c>
      <c r="I47" s="110">
        <f t="shared" si="26"/>
        <v>0</v>
      </c>
      <c r="J47" s="110">
        <f t="shared" si="26"/>
        <v>0</v>
      </c>
      <c r="K47" s="110">
        <f t="shared" si="26"/>
        <v>0</v>
      </c>
      <c r="L47" s="110">
        <f t="shared" si="26"/>
        <v>0</v>
      </c>
      <c r="M47" s="110">
        <f t="shared" si="26"/>
        <v>0</v>
      </c>
      <c r="N47" s="110">
        <f t="shared" si="26"/>
        <v>0</v>
      </c>
      <c r="O47" s="110">
        <f t="shared" si="26"/>
        <v>0</v>
      </c>
      <c r="P47" s="110">
        <f t="shared" si="26"/>
        <v>0</v>
      </c>
      <c r="Q47" s="110">
        <f t="shared" si="26"/>
        <v>0</v>
      </c>
      <c r="R47" s="110">
        <f t="shared" si="26"/>
        <v>0</v>
      </c>
      <c r="S47" s="110">
        <f t="shared" si="26"/>
        <v>0</v>
      </c>
      <c r="T47" s="110">
        <f t="shared" si="26"/>
        <v>0</v>
      </c>
      <c r="U47" s="110">
        <f t="shared" si="26"/>
        <v>0</v>
      </c>
      <c r="V47" s="110">
        <f t="shared" si="26"/>
        <v>0</v>
      </c>
      <c r="W47" s="110">
        <f t="shared" si="26"/>
        <v>0</v>
      </c>
      <c r="X47" s="110">
        <f t="shared" si="26"/>
        <v>0</v>
      </c>
      <c r="Y47" s="110">
        <f t="shared" si="26"/>
        <v>0</v>
      </c>
      <c r="Z47" s="110">
        <f t="shared" si="26"/>
        <v>0</v>
      </c>
      <c r="AA47" s="110">
        <f t="shared" si="26"/>
        <v>0</v>
      </c>
      <c r="AB47" s="110">
        <f t="shared" si="26"/>
        <v>0</v>
      </c>
      <c r="AC47" s="110">
        <f t="shared" si="26"/>
        <v>0</v>
      </c>
      <c r="AD47" s="110">
        <f t="shared" si="26"/>
        <v>0</v>
      </c>
      <c r="AE47" s="110">
        <f t="shared" si="26"/>
        <v>0</v>
      </c>
      <c r="AF47" s="110">
        <f t="shared" si="26"/>
        <v>0</v>
      </c>
      <c r="AG47" s="110">
        <f t="shared" ref="AG47:AP47" si="27">SUM(AG21:AG22)</f>
        <v>0</v>
      </c>
      <c r="AH47" s="110">
        <f t="shared" si="27"/>
        <v>0</v>
      </c>
      <c r="AI47" s="110">
        <f t="shared" si="27"/>
        <v>0</v>
      </c>
      <c r="AJ47" s="110">
        <f t="shared" si="27"/>
        <v>0</v>
      </c>
      <c r="AK47" s="110">
        <f t="shared" si="27"/>
        <v>0</v>
      </c>
      <c r="AL47" s="110">
        <f t="shared" si="27"/>
        <v>0</v>
      </c>
      <c r="AM47" s="110">
        <f t="shared" si="27"/>
        <v>0</v>
      </c>
      <c r="AN47" s="110">
        <f t="shared" si="27"/>
        <v>0</v>
      </c>
      <c r="AO47" s="110">
        <f t="shared" si="27"/>
        <v>0</v>
      </c>
      <c r="AP47" s="136">
        <f t="shared" si="27"/>
        <v>0</v>
      </c>
    </row>
    <row r="48" spans="2:42">
      <c r="B48" s="48" t="s">
        <v>145</v>
      </c>
      <c r="C48" s="24"/>
      <c r="D48" s="24"/>
      <c r="E48" s="24"/>
      <c r="F48" s="20">
        <f>SUM(H48:AP48)</f>
        <v>-6.8974682549999999E-2</v>
      </c>
      <c r="G48" s="21">
        <v>0</v>
      </c>
      <c r="H48" s="110">
        <f>H39</f>
        <v>-6.8974682549999999E-2</v>
      </c>
      <c r="I48" s="110">
        <f>I39</f>
        <v>0</v>
      </c>
      <c r="J48" s="110">
        <f t="shared" ref="J48:AA48" si="28">J39</f>
        <v>0</v>
      </c>
      <c r="K48" s="110">
        <f t="shared" si="28"/>
        <v>0</v>
      </c>
      <c r="L48" s="110">
        <f t="shared" si="28"/>
        <v>0</v>
      </c>
      <c r="M48" s="110">
        <f t="shared" si="28"/>
        <v>0</v>
      </c>
      <c r="N48" s="110">
        <f t="shared" si="28"/>
        <v>0</v>
      </c>
      <c r="O48" s="110">
        <f t="shared" si="28"/>
        <v>0</v>
      </c>
      <c r="P48" s="110">
        <f t="shared" si="28"/>
        <v>0</v>
      </c>
      <c r="Q48" s="110">
        <f t="shared" si="28"/>
        <v>0</v>
      </c>
      <c r="R48" s="110">
        <f t="shared" si="28"/>
        <v>0</v>
      </c>
      <c r="S48" s="110">
        <f t="shared" si="28"/>
        <v>0</v>
      </c>
      <c r="T48" s="110">
        <f t="shared" si="28"/>
        <v>0</v>
      </c>
      <c r="U48" s="110">
        <f t="shared" si="28"/>
        <v>0</v>
      </c>
      <c r="V48" s="110">
        <f t="shared" si="28"/>
        <v>0</v>
      </c>
      <c r="W48" s="110">
        <f t="shared" si="28"/>
        <v>0</v>
      </c>
      <c r="X48" s="110">
        <f t="shared" si="28"/>
        <v>0</v>
      </c>
      <c r="Y48" s="110">
        <f t="shared" si="28"/>
        <v>0</v>
      </c>
      <c r="Z48" s="110">
        <f t="shared" si="28"/>
        <v>0</v>
      </c>
      <c r="AA48" s="110">
        <f t="shared" si="28"/>
        <v>0</v>
      </c>
      <c r="AB48" s="110">
        <f>AB39</f>
        <v>0</v>
      </c>
      <c r="AC48" s="110">
        <f>AC39</f>
        <v>0</v>
      </c>
      <c r="AD48" s="110">
        <f>AD39</f>
        <v>0</v>
      </c>
      <c r="AE48" s="110">
        <f>AE39</f>
        <v>0</v>
      </c>
      <c r="AF48" s="110">
        <f>AF39</f>
        <v>0</v>
      </c>
      <c r="AG48" s="110">
        <f t="shared" ref="AG48:AP48" si="29">AG39</f>
        <v>0</v>
      </c>
      <c r="AH48" s="110">
        <f t="shared" si="29"/>
        <v>0</v>
      </c>
      <c r="AI48" s="110">
        <f t="shared" si="29"/>
        <v>0</v>
      </c>
      <c r="AJ48" s="110">
        <f t="shared" si="29"/>
        <v>0</v>
      </c>
      <c r="AK48" s="110">
        <f t="shared" si="29"/>
        <v>0</v>
      </c>
      <c r="AL48" s="110">
        <f t="shared" si="29"/>
        <v>0</v>
      </c>
      <c r="AM48" s="110">
        <f t="shared" si="29"/>
        <v>0</v>
      </c>
      <c r="AN48" s="110">
        <f t="shared" si="29"/>
        <v>0</v>
      </c>
      <c r="AO48" s="110">
        <f t="shared" si="29"/>
        <v>0</v>
      </c>
      <c r="AP48" s="136">
        <f t="shared" si="29"/>
        <v>0</v>
      </c>
    </row>
    <row r="49" spans="2:42" hidden="1" outlineLevel="1">
      <c r="B49" s="48" t="s">
        <v>36</v>
      </c>
      <c r="C49" s="24"/>
      <c r="D49" s="24" t="s">
        <v>34</v>
      </c>
      <c r="E49" s="19">
        <f>'Dane inwestycji'!F88</f>
        <v>0</v>
      </c>
      <c r="F49" s="20"/>
      <c r="G49" s="21"/>
      <c r="H49" s="110">
        <f>-H46/365*$E$49</f>
        <v>0</v>
      </c>
      <c r="I49" s="110">
        <f>-I46/365*$E$49</f>
        <v>0</v>
      </c>
      <c r="J49" s="110">
        <f t="shared" ref="J49:AA49" si="30">-J46/365*$E$49</f>
        <v>0</v>
      </c>
      <c r="K49" s="110">
        <f t="shared" si="30"/>
        <v>0</v>
      </c>
      <c r="L49" s="110">
        <f t="shared" si="30"/>
        <v>0</v>
      </c>
      <c r="M49" s="110">
        <f t="shared" si="30"/>
        <v>0</v>
      </c>
      <c r="N49" s="110">
        <f t="shared" si="30"/>
        <v>0</v>
      </c>
      <c r="O49" s="110">
        <f t="shared" si="30"/>
        <v>0</v>
      </c>
      <c r="P49" s="110">
        <f t="shared" si="30"/>
        <v>0</v>
      </c>
      <c r="Q49" s="110">
        <f t="shared" si="30"/>
        <v>0</v>
      </c>
      <c r="R49" s="110">
        <f t="shared" si="30"/>
        <v>0</v>
      </c>
      <c r="S49" s="110">
        <f t="shared" si="30"/>
        <v>0</v>
      </c>
      <c r="T49" s="110">
        <f t="shared" si="30"/>
        <v>0</v>
      </c>
      <c r="U49" s="110">
        <f t="shared" si="30"/>
        <v>0</v>
      </c>
      <c r="V49" s="110">
        <f t="shared" si="30"/>
        <v>0</v>
      </c>
      <c r="W49" s="110">
        <f t="shared" si="30"/>
        <v>0</v>
      </c>
      <c r="X49" s="110">
        <f t="shared" si="30"/>
        <v>0</v>
      </c>
      <c r="Y49" s="110">
        <f t="shared" si="30"/>
        <v>0</v>
      </c>
      <c r="Z49" s="110">
        <f t="shared" si="30"/>
        <v>0</v>
      </c>
      <c r="AA49" s="110">
        <f t="shared" si="30"/>
        <v>0</v>
      </c>
      <c r="AB49" s="110">
        <f>-AB46/365*$E$49</f>
        <v>0</v>
      </c>
      <c r="AC49" s="110">
        <f>-AC46/365*$E$49</f>
        <v>0</v>
      </c>
      <c r="AD49" s="110">
        <f>-AD46/365*$E$49</f>
        <v>0</v>
      </c>
      <c r="AE49" s="110">
        <f>-AE46/365*$E$49</f>
        <v>0</v>
      </c>
      <c r="AF49" s="110">
        <f>-AF46/365*$E$49</f>
        <v>0</v>
      </c>
      <c r="AG49" s="110">
        <f t="shared" ref="AG49:AP49" si="31">-AG46/365*$E$49</f>
        <v>0</v>
      </c>
      <c r="AH49" s="110">
        <f t="shared" si="31"/>
        <v>0</v>
      </c>
      <c r="AI49" s="110">
        <f t="shared" si="31"/>
        <v>0</v>
      </c>
      <c r="AJ49" s="110">
        <f t="shared" si="31"/>
        <v>0</v>
      </c>
      <c r="AK49" s="110">
        <f t="shared" si="31"/>
        <v>0</v>
      </c>
      <c r="AL49" s="110">
        <f t="shared" si="31"/>
        <v>0</v>
      </c>
      <c r="AM49" s="110">
        <f t="shared" si="31"/>
        <v>0</v>
      </c>
      <c r="AN49" s="110">
        <f t="shared" si="31"/>
        <v>0</v>
      </c>
      <c r="AO49" s="110">
        <f t="shared" si="31"/>
        <v>0</v>
      </c>
      <c r="AP49" s="136">
        <f t="shared" si="31"/>
        <v>0</v>
      </c>
    </row>
    <row r="50" spans="2:42" hidden="1" outlineLevel="1">
      <c r="B50" s="48" t="s">
        <v>37</v>
      </c>
      <c r="C50" s="24"/>
      <c r="D50" s="24" t="s">
        <v>35</v>
      </c>
      <c r="E50" s="19">
        <f>'Dane inwestycji'!F89</f>
        <v>0</v>
      </c>
      <c r="F50" s="20"/>
      <c r="G50" s="21"/>
      <c r="H50" s="110">
        <f t="shared" ref="H50:AA50" si="32">H47/365*$E$50</f>
        <v>0</v>
      </c>
      <c r="I50" s="110">
        <f t="shared" si="32"/>
        <v>0</v>
      </c>
      <c r="J50" s="110">
        <f t="shared" si="32"/>
        <v>0</v>
      </c>
      <c r="K50" s="110">
        <f t="shared" si="32"/>
        <v>0</v>
      </c>
      <c r="L50" s="110">
        <f t="shared" si="32"/>
        <v>0</v>
      </c>
      <c r="M50" s="110">
        <f t="shared" si="32"/>
        <v>0</v>
      </c>
      <c r="N50" s="110">
        <f t="shared" si="32"/>
        <v>0</v>
      </c>
      <c r="O50" s="110">
        <f t="shared" si="32"/>
        <v>0</v>
      </c>
      <c r="P50" s="110">
        <f t="shared" si="32"/>
        <v>0</v>
      </c>
      <c r="Q50" s="110">
        <f t="shared" si="32"/>
        <v>0</v>
      </c>
      <c r="R50" s="110">
        <f t="shared" si="32"/>
        <v>0</v>
      </c>
      <c r="S50" s="110">
        <f t="shared" si="32"/>
        <v>0</v>
      </c>
      <c r="T50" s="110">
        <f t="shared" si="32"/>
        <v>0</v>
      </c>
      <c r="U50" s="110">
        <f t="shared" si="32"/>
        <v>0</v>
      </c>
      <c r="V50" s="110">
        <f t="shared" si="32"/>
        <v>0</v>
      </c>
      <c r="W50" s="110">
        <f t="shared" si="32"/>
        <v>0</v>
      </c>
      <c r="X50" s="110">
        <f t="shared" si="32"/>
        <v>0</v>
      </c>
      <c r="Y50" s="110">
        <f t="shared" si="32"/>
        <v>0</v>
      </c>
      <c r="Z50" s="110">
        <f t="shared" si="32"/>
        <v>0</v>
      </c>
      <c r="AA50" s="110">
        <f t="shared" si="32"/>
        <v>0</v>
      </c>
      <c r="AB50" s="110">
        <f>AB47/365*$E$50</f>
        <v>0</v>
      </c>
      <c r="AC50" s="110">
        <f>AC47/365*$E$50</f>
        <v>0</v>
      </c>
      <c r="AD50" s="110">
        <f>AD47/365*$E$50</f>
        <v>0</v>
      </c>
      <c r="AE50" s="110">
        <f>AE47/365*$E$50</f>
        <v>0</v>
      </c>
      <c r="AF50" s="110">
        <f>AF47/365*$E$50</f>
        <v>0</v>
      </c>
      <c r="AG50" s="110">
        <f t="shared" ref="AG50:AP50" si="33">AG47/365*$E$50</f>
        <v>0</v>
      </c>
      <c r="AH50" s="110">
        <f t="shared" si="33"/>
        <v>0</v>
      </c>
      <c r="AI50" s="110">
        <f t="shared" si="33"/>
        <v>0</v>
      </c>
      <c r="AJ50" s="110">
        <f t="shared" si="33"/>
        <v>0</v>
      </c>
      <c r="AK50" s="110">
        <f t="shared" si="33"/>
        <v>0</v>
      </c>
      <c r="AL50" s="110">
        <f t="shared" si="33"/>
        <v>0</v>
      </c>
      <c r="AM50" s="110">
        <f t="shared" si="33"/>
        <v>0</v>
      </c>
      <c r="AN50" s="110">
        <f t="shared" si="33"/>
        <v>0</v>
      </c>
      <c r="AO50" s="110">
        <f t="shared" si="33"/>
        <v>0</v>
      </c>
      <c r="AP50" s="136">
        <f t="shared" si="33"/>
        <v>0</v>
      </c>
    </row>
    <row r="51" spans="2:42" hidden="1" outlineLevel="1">
      <c r="B51" s="48" t="s">
        <v>3</v>
      </c>
      <c r="C51" s="24"/>
      <c r="D51" s="24"/>
      <c r="E51" s="24"/>
      <c r="F51" s="20"/>
      <c r="G51" s="21">
        <v>0</v>
      </c>
      <c r="H51" s="110">
        <f>H49+H50</f>
        <v>0</v>
      </c>
      <c r="I51" s="110">
        <f t="shared" ref="I51:AA51" si="34">I49+I50</f>
        <v>0</v>
      </c>
      <c r="J51" s="110">
        <f t="shared" si="34"/>
        <v>0</v>
      </c>
      <c r="K51" s="110">
        <f t="shared" si="34"/>
        <v>0</v>
      </c>
      <c r="L51" s="110">
        <f t="shared" si="34"/>
        <v>0</v>
      </c>
      <c r="M51" s="110">
        <f t="shared" si="34"/>
        <v>0</v>
      </c>
      <c r="N51" s="110">
        <f t="shared" si="34"/>
        <v>0</v>
      </c>
      <c r="O51" s="110">
        <f t="shared" si="34"/>
        <v>0</v>
      </c>
      <c r="P51" s="110">
        <f t="shared" si="34"/>
        <v>0</v>
      </c>
      <c r="Q51" s="110">
        <f t="shared" si="34"/>
        <v>0</v>
      </c>
      <c r="R51" s="110">
        <f t="shared" si="34"/>
        <v>0</v>
      </c>
      <c r="S51" s="110">
        <f t="shared" si="34"/>
        <v>0</v>
      </c>
      <c r="T51" s="110">
        <f t="shared" si="34"/>
        <v>0</v>
      </c>
      <c r="U51" s="110">
        <f t="shared" si="34"/>
        <v>0</v>
      </c>
      <c r="V51" s="110">
        <f t="shared" si="34"/>
        <v>0</v>
      </c>
      <c r="W51" s="110">
        <f t="shared" si="34"/>
        <v>0</v>
      </c>
      <c r="X51" s="110">
        <f t="shared" si="34"/>
        <v>0</v>
      </c>
      <c r="Y51" s="110">
        <f t="shared" si="34"/>
        <v>0</v>
      </c>
      <c r="Z51" s="110">
        <f t="shared" si="34"/>
        <v>0</v>
      </c>
      <c r="AA51" s="110">
        <f t="shared" si="34"/>
        <v>0</v>
      </c>
      <c r="AB51" s="110">
        <f>AB49+AB50</f>
        <v>0</v>
      </c>
      <c r="AC51" s="110">
        <f>AC49+AC50</f>
        <v>0</v>
      </c>
      <c r="AD51" s="110">
        <f>AD49+AD50</f>
        <v>0</v>
      </c>
      <c r="AE51" s="110">
        <f>AE49+AE50</f>
        <v>0</v>
      </c>
      <c r="AF51" s="110">
        <f>AF49+AF50</f>
        <v>0</v>
      </c>
      <c r="AG51" s="110">
        <f t="shared" ref="AG51:AP51" si="35">AG49+AG50</f>
        <v>0</v>
      </c>
      <c r="AH51" s="110">
        <f t="shared" si="35"/>
        <v>0</v>
      </c>
      <c r="AI51" s="110">
        <f t="shared" si="35"/>
        <v>0</v>
      </c>
      <c r="AJ51" s="110">
        <f t="shared" si="35"/>
        <v>0</v>
      </c>
      <c r="AK51" s="110">
        <f t="shared" si="35"/>
        <v>0</v>
      </c>
      <c r="AL51" s="110">
        <f t="shared" si="35"/>
        <v>0</v>
      </c>
      <c r="AM51" s="110">
        <f t="shared" si="35"/>
        <v>0</v>
      </c>
      <c r="AN51" s="110">
        <f t="shared" si="35"/>
        <v>0</v>
      </c>
      <c r="AO51" s="110">
        <f t="shared" si="35"/>
        <v>0</v>
      </c>
      <c r="AP51" s="136">
        <f t="shared" si="35"/>
        <v>0</v>
      </c>
    </row>
    <row r="52" spans="2:42" collapsed="1">
      <c r="B52" s="48" t="s">
        <v>130</v>
      </c>
      <c r="C52" s="24"/>
      <c r="D52" s="24"/>
      <c r="E52" s="24"/>
      <c r="F52" s="20">
        <f>SUM(H52:AP52)</f>
        <v>0</v>
      </c>
      <c r="G52" s="21"/>
      <c r="H52" s="110">
        <f>H51-G51</f>
        <v>0</v>
      </c>
      <c r="I52" s="110">
        <f>I51-H51</f>
        <v>0</v>
      </c>
      <c r="J52" s="110">
        <f t="shared" ref="J52:AA52" si="36">J51-I51</f>
        <v>0</v>
      </c>
      <c r="K52" s="110">
        <f t="shared" si="36"/>
        <v>0</v>
      </c>
      <c r="L52" s="110">
        <f t="shared" si="36"/>
        <v>0</v>
      </c>
      <c r="M52" s="110">
        <f t="shared" si="36"/>
        <v>0</v>
      </c>
      <c r="N52" s="110">
        <f t="shared" si="36"/>
        <v>0</v>
      </c>
      <c r="O52" s="110">
        <f t="shared" si="36"/>
        <v>0</v>
      </c>
      <c r="P52" s="110">
        <f t="shared" si="36"/>
        <v>0</v>
      </c>
      <c r="Q52" s="110">
        <f t="shared" si="36"/>
        <v>0</v>
      </c>
      <c r="R52" s="110">
        <f t="shared" si="36"/>
        <v>0</v>
      </c>
      <c r="S52" s="110">
        <f t="shared" si="36"/>
        <v>0</v>
      </c>
      <c r="T52" s="110">
        <f t="shared" si="36"/>
        <v>0</v>
      </c>
      <c r="U52" s="110">
        <f t="shared" si="36"/>
        <v>0</v>
      </c>
      <c r="V52" s="110">
        <f t="shared" si="36"/>
        <v>0</v>
      </c>
      <c r="W52" s="110">
        <f t="shared" si="36"/>
        <v>0</v>
      </c>
      <c r="X52" s="110">
        <f t="shared" si="36"/>
        <v>0</v>
      </c>
      <c r="Y52" s="110">
        <f t="shared" si="36"/>
        <v>0</v>
      </c>
      <c r="Z52" s="110">
        <f t="shared" si="36"/>
        <v>0</v>
      </c>
      <c r="AA52" s="110">
        <f t="shared" si="36"/>
        <v>0</v>
      </c>
      <c r="AB52" s="110">
        <f t="shared" ref="AB52:AP52" si="37">AB51-AA51</f>
        <v>0</v>
      </c>
      <c r="AC52" s="110">
        <f t="shared" si="37"/>
        <v>0</v>
      </c>
      <c r="AD52" s="110">
        <f t="shared" si="37"/>
        <v>0</v>
      </c>
      <c r="AE52" s="110">
        <f t="shared" si="37"/>
        <v>0</v>
      </c>
      <c r="AF52" s="110">
        <f t="shared" si="37"/>
        <v>0</v>
      </c>
      <c r="AG52" s="110">
        <f t="shared" si="37"/>
        <v>0</v>
      </c>
      <c r="AH52" s="110">
        <f t="shared" si="37"/>
        <v>0</v>
      </c>
      <c r="AI52" s="110">
        <f t="shared" si="37"/>
        <v>0</v>
      </c>
      <c r="AJ52" s="110">
        <f t="shared" si="37"/>
        <v>0</v>
      </c>
      <c r="AK52" s="110">
        <f t="shared" si="37"/>
        <v>0</v>
      </c>
      <c r="AL52" s="110">
        <f t="shared" si="37"/>
        <v>0</v>
      </c>
      <c r="AM52" s="110">
        <f t="shared" si="37"/>
        <v>0</v>
      </c>
      <c r="AN52" s="110">
        <f t="shared" si="37"/>
        <v>0</v>
      </c>
      <c r="AO52" s="110">
        <f t="shared" si="37"/>
        <v>0</v>
      </c>
      <c r="AP52" s="136">
        <f t="shared" si="37"/>
        <v>0</v>
      </c>
    </row>
    <row r="53" spans="2:42">
      <c r="B53" s="209" t="s">
        <v>131</v>
      </c>
      <c r="C53" s="210"/>
      <c r="D53" s="210"/>
      <c r="E53" s="210"/>
      <c r="F53" s="212">
        <f>SUM(H53:AP53)</f>
        <v>0.29404996244999998</v>
      </c>
      <c r="G53" s="213">
        <f>F9</f>
        <v>0</v>
      </c>
      <c r="H53" s="214">
        <f>H46+H47+H48+H52</f>
        <v>0.29404996244999998</v>
      </c>
      <c r="I53" s="214">
        <f>I46+I47+I48+I52</f>
        <v>0</v>
      </c>
      <c r="J53" s="214">
        <f t="shared" ref="J53:AA53" si="38">J46+J47+J48+J52</f>
        <v>0</v>
      </c>
      <c r="K53" s="214">
        <f t="shared" si="38"/>
        <v>0</v>
      </c>
      <c r="L53" s="214">
        <f t="shared" si="38"/>
        <v>0</v>
      </c>
      <c r="M53" s="214">
        <f t="shared" si="38"/>
        <v>0</v>
      </c>
      <c r="N53" s="214">
        <f t="shared" si="38"/>
        <v>0</v>
      </c>
      <c r="O53" s="214">
        <f t="shared" si="38"/>
        <v>0</v>
      </c>
      <c r="P53" s="214">
        <f t="shared" si="38"/>
        <v>0</v>
      </c>
      <c r="Q53" s="214">
        <f t="shared" si="38"/>
        <v>0</v>
      </c>
      <c r="R53" s="214">
        <f t="shared" si="38"/>
        <v>0</v>
      </c>
      <c r="S53" s="214">
        <f t="shared" si="38"/>
        <v>0</v>
      </c>
      <c r="T53" s="214">
        <f t="shared" si="38"/>
        <v>0</v>
      </c>
      <c r="U53" s="214">
        <f t="shared" si="38"/>
        <v>0</v>
      </c>
      <c r="V53" s="214">
        <f t="shared" si="38"/>
        <v>0</v>
      </c>
      <c r="W53" s="214">
        <f t="shared" si="38"/>
        <v>0</v>
      </c>
      <c r="X53" s="214">
        <f t="shared" si="38"/>
        <v>0</v>
      </c>
      <c r="Y53" s="214">
        <f t="shared" si="38"/>
        <v>0</v>
      </c>
      <c r="Z53" s="214">
        <f t="shared" si="38"/>
        <v>0</v>
      </c>
      <c r="AA53" s="214">
        <f t="shared" si="38"/>
        <v>0</v>
      </c>
      <c r="AB53" s="214">
        <f>AB46+AB47+AB48+AB52</f>
        <v>0</v>
      </c>
      <c r="AC53" s="214">
        <f>AC46+AC47+AC48+AC52</f>
        <v>0</v>
      </c>
      <c r="AD53" s="214">
        <f>AD46+AD47+AD48+AD52</f>
        <v>0</v>
      </c>
      <c r="AE53" s="214">
        <f>AE46+AE47+AE48+AE52</f>
        <v>0</v>
      </c>
      <c r="AF53" s="214">
        <f>AF46+AF47+AF48+AF52</f>
        <v>0</v>
      </c>
      <c r="AG53" s="214">
        <f t="shared" ref="AG53:AP53" si="39">AG46+AG47+AG48+AG52</f>
        <v>0</v>
      </c>
      <c r="AH53" s="214">
        <f t="shared" si="39"/>
        <v>0</v>
      </c>
      <c r="AI53" s="214">
        <f t="shared" si="39"/>
        <v>0</v>
      </c>
      <c r="AJ53" s="214">
        <f t="shared" si="39"/>
        <v>0</v>
      </c>
      <c r="AK53" s="214">
        <f t="shared" si="39"/>
        <v>0</v>
      </c>
      <c r="AL53" s="214">
        <f t="shared" si="39"/>
        <v>0</v>
      </c>
      <c r="AM53" s="214">
        <f t="shared" si="39"/>
        <v>0</v>
      </c>
      <c r="AN53" s="214">
        <f t="shared" si="39"/>
        <v>0</v>
      </c>
      <c r="AO53" s="214">
        <f t="shared" si="39"/>
        <v>0</v>
      </c>
      <c r="AP53" s="215">
        <f t="shared" si="39"/>
        <v>0</v>
      </c>
    </row>
    <row r="54" spans="2:42">
      <c r="B54" s="302"/>
      <c r="C54" s="303"/>
      <c r="D54" s="303"/>
      <c r="E54" s="303"/>
      <c r="F54" s="304"/>
      <c r="G54" s="21"/>
      <c r="H54" s="23"/>
      <c r="I54" s="23"/>
      <c r="J54" s="23"/>
      <c r="K54" s="23"/>
      <c r="L54" s="23"/>
      <c r="AP54" s="134"/>
    </row>
    <row r="55" spans="2:42">
      <c r="B55" s="48" t="s">
        <v>132</v>
      </c>
      <c r="C55" s="24"/>
      <c r="D55" s="24"/>
      <c r="E55" s="24"/>
      <c r="F55" s="20">
        <f>SUM(H55:AP55)</f>
        <v>0</v>
      </c>
      <c r="G55" s="39">
        <v>0</v>
      </c>
      <c r="H55" s="113">
        <f>H32</f>
        <v>0</v>
      </c>
      <c r="I55" s="113">
        <f>I32</f>
        <v>0</v>
      </c>
      <c r="J55" s="113">
        <f t="shared" ref="J55:AA55" si="40">J32</f>
        <v>0</v>
      </c>
      <c r="K55" s="113">
        <f t="shared" si="40"/>
        <v>0</v>
      </c>
      <c r="L55" s="113">
        <f t="shared" si="40"/>
        <v>0</v>
      </c>
      <c r="M55" s="113">
        <f t="shared" si="40"/>
        <v>0</v>
      </c>
      <c r="N55" s="113">
        <f t="shared" si="40"/>
        <v>0</v>
      </c>
      <c r="O55" s="113">
        <f t="shared" si="40"/>
        <v>0</v>
      </c>
      <c r="P55" s="113">
        <f t="shared" si="40"/>
        <v>0</v>
      </c>
      <c r="Q55" s="113">
        <f t="shared" si="40"/>
        <v>0</v>
      </c>
      <c r="R55" s="113">
        <f t="shared" si="40"/>
        <v>0</v>
      </c>
      <c r="S55" s="113">
        <f t="shared" si="40"/>
        <v>0</v>
      </c>
      <c r="T55" s="113">
        <f t="shared" si="40"/>
        <v>0</v>
      </c>
      <c r="U55" s="113">
        <f t="shared" si="40"/>
        <v>0</v>
      </c>
      <c r="V55" s="113">
        <f t="shared" si="40"/>
        <v>0</v>
      </c>
      <c r="W55" s="113">
        <f t="shared" si="40"/>
        <v>0</v>
      </c>
      <c r="X55" s="113">
        <f t="shared" si="40"/>
        <v>0</v>
      </c>
      <c r="Y55" s="113">
        <f t="shared" si="40"/>
        <v>0</v>
      </c>
      <c r="Z55" s="113">
        <f t="shared" si="40"/>
        <v>0</v>
      </c>
      <c r="AA55" s="113">
        <f t="shared" si="40"/>
        <v>0</v>
      </c>
      <c r="AB55" s="113">
        <f t="shared" ref="AB55:AF56" si="41">AB32</f>
        <v>0</v>
      </c>
      <c r="AC55" s="113">
        <f t="shared" si="41"/>
        <v>0</v>
      </c>
      <c r="AD55" s="113">
        <f t="shared" si="41"/>
        <v>0</v>
      </c>
      <c r="AE55" s="113">
        <f t="shared" si="41"/>
        <v>0</v>
      </c>
      <c r="AF55" s="113">
        <f t="shared" si="41"/>
        <v>0</v>
      </c>
      <c r="AG55" s="113">
        <f t="shared" ref="AG55:AP55" si="42">AG32</f>
        <v>0</v>
      </c>
      <c r="AH55" s="113">
        <f t="shared" si="42"/>
        <v>0</v>
      </c>
      <c r="AI55" s="113">
        <f t="shared" si="42"/>
        <v>0</v>
      </c>
      <c r="AJ55" s="113">
        <f t="shared" si="42"/>
        <v>0</v>
      </c>
      <c r="AK55" s="113">
        <f t="shared" si="42"/>
        <v>0</v>
      </c>
      <c r="AL55" s="113">
        <f t="shared" si="42"/>
        <v>0</v>
      </c>
      <c r="AM55" s="113">
        <f t="shared" si="42"/>
        <v>0</v>
      </c>
      <c r="AN55" s="113">
        <f t="shared" si="42"/>
        <v>0</v>
      </c>
      <c r="AO55" s="113">
        <f t="shared" si="42"/>
        <v>0</v>
      </c>
      <c r="AP55" s="137">
        <f t="shared" si="42"/>
        <v>0</v>
      </c>
    </row>
    <row r="56" spans="2:42">
      <c r="B56" s="48" t="s">
        <v>133</v>
      </c>
      <c r="C56" s="24"/>
      <c r="D56" s="24"/>
      <c r="E56" s="24"/>
      <c r="F56" s="20">
        <f>SUM(H56:AP56)</f>
        <v>0</v>
      </c>
      <c r="G56" s="39">
        <v>0</v>
      </c>
      <c r="H56" s="113">
        <f>H33</f>
        <v>0</v>
      </c>
      <c r="I56" s="113">
        <f>I33</f>
        <v>0</v>
      </c>
      <c r="J56" s="113">
        <f t="shared" ref="J56:AA56" si="43">J33</f>
        <v>0</v>
      </c>
      <c r="K56" s="113">
        <f t="shared" si="43"/>
        <v>0</v>
      </c>
      <c r="L56" s="113">
        <f t="shared" si="43"/>
        <v>0</v>
      </c>
      <c r="M56" s="113">
        <f t="shared" si="43"/>
        <v>0</v>
      </c>
      <c r="N56" s="113">
        <f t="shared" si="43"/>
        <v>0</v>
      </c>
      <c r="O56" s="113">
        <f t="shared" si="43"/>
        <v>0</v>
      </c>
      <c r="P56" s="113">
        <f t="shared" si="43"/>
        <v>0</v>
      </c>
      <c r="Q56" s="113">
        <f t="shared" si="43"/>
        <v>0</v>
      </c>
      <c r="R56" s="113">
        <f t="shared" si="43"/>
        <v>0</v>
      </c>
      <c r="S56" s="113">
        <f t="shared" si="43"/>
        <v>0</v>
      </c>
      <c r="T56" s="113">
        <f t="shared" si="43"/>
        <v>0</v>
      </c>
      <c r="U56" s="113">
        <f t="shared" si="43"/>
        <v>0</v>
      </c>
      <c r="V56" s="113">
        <f t="shared" si="43"/>
        <v>0</v>
      </c>
      <c r="W56" s="113">
        <f t="shared" si="43"/>
        <v>0</v>
      </c>
      <c r="X56" s="113">
        <f t="shared" si="43"/>
        <v>0</v>
      </c>
      <c r="Y56" s="113">
        <f t="shared" si="43"/>
        <v>0</v>
      </c>
      <c r="Z56" s="113">
        <f t="shared" si="43"/>
        <v>0</v>
      </c>
      <c r="AA56" s="113">
        <f t="shared" si="43"/>
        <v>0</v>
      </c>
      <c r="AB56" s="113">
        <f t="shared" si="41"/>
        <v>0</v>
      </c>
      <c r="AC56" s="113">
        <f t="shared" si="41"/>
        <v>0</v>
      </c>
      <c r="AD56" s="113">
        <f t="shared" si="41"/>
        <v>0</v>
      </c>
      <c r="AE56" s="113">
        <f t="shared" si="41"/>
        <v>0</v>
      </c>
      <c r="AF56" s="113">
        <f t="shared" si="41"/>
        <v>0</v>
      </c>
      <c r="AG56" s="113">
        <f t="shared" ref="AG56:AP56" si="44">AG33</f>
        <v>0</v>
      </c>
      <c r="AH56" s="113">
        <f t="shared" si="44"/>
        <v>0</v>
      </c>
      <c r="AI56" s="113">
        <f t="shared" si="44"/>
        <v>0</v>
      </c>
      <c r="AJ56" s="113">
        <f t="shared" si="44"/>
        <v>0</v>
      </c>
      <c r="AK56" s="113">
        <f t="shared" si="44"/>
        <v>0</v>
      </c>
      <c r="AL56" s="113">
        <f t="shared" si="44"/>
        <v>0</v>
      </c>
      <c r="AM56" s="113">
        <f t="shared" si="44"/>
        <v>0</v>
      </c>
      <c r="AN56" s="113">
        <f t="shared" si="44"/>
        <v>0</v>
      </c>
      <c r="AO56" s="113">
        <f t="shared" si="44"/>
        <v>0</v>
      </c>
      <c r="AP56" s="137">
        <f t="shared" si="44"/>
        <v>0</v>
      </c>
    </row>
    <row r="57" spans="2:42">
      <c r="B57" s="209" t="s">
        <v>2</v>
      </c>
      <c r="C57" s="210"/>
      <c r="D57" s="210"/>
      <c r="E57" s="210"/>
      <c r="F57" s="212">
        <f>SUM(H57:AP57)</f>
        <v>0</v>
      </c>
      <c r="G57" s="216">
        <f>G55+G56</f>
        <v>0</v>
      </c>
      <c r="H57" s="216">
        <f>H55+H56</f>
        <v>0</v>
      </c>
      <c r="I57" s="217">
        <f>I55+I56</f>
        <v>0</v>
      </c>
      <c r="J57" s="217">
        <f t="shared" ref="J57:AA57" si="45">J55+J56</f>
        <v>0</v>
      </c>
      <c r="K57" s="217">
        <f t="shared" si="45"/>
        <v>0</v>
      </c>
      <c r="L57" s="217">
        <f t="shared" si="45"/>
        <v>0</v>
      </c>
      <c r="M57" s="217">
        <f t="shared" si="45"/>
        <v>0</v>
      </c>
      <c r="N57" s="217">
        <f t="shared" si="45"/>
        <v>0</v>
      </c>
      <c r="O57" s="217">
        <f t="shared" si="45"/>
        <v>0</v>
      </c>
      <c r="P57" s="217">
        <f t="shared" si="45"/>
        <v>0</v>
      </c>
      <c r="Q57" s="217">
        <f t="shared" si="45"/>
        <v>0</v>
      </c>
      <c r="R57" s="217">
        <f t="shared" si="45"/>
        <v>0</v>
      </c>
      <c r="S57" s="217">
        <f t="shared" si="45"/>
        <v>0</v>
      </c>
      <c r="T57" s="217">
        <f t="shared" si="45"/>
        <v>0</v>
      </c>
      <c r="U57" s="217">
        <f t="shared" si="45"/>
        <v>0</v>
      </c>
      <c r="V57" s="217">
        <f t="shared" si="45"/>
        <v>0</v>
      </c>
      <c r="W57" s="217">
        <f t="shared" si="45"/>
        <v>0</v>
      </c>
      <c r="X57" s="217">
        <f t="shared" si="45"/>
        <v>0</v>
      </c>
      <c r="Y57" s="217">
        <f t="shared" si="45"/>
        <v>0</v>
      </c>
      <c r="Z57" s="217">
        <f t="shared" si="45"/>
        <v>0</v>
      </c>
      <c r="AA57" s="217">
        <f t="shared" si="45"/>
        <v>0</v>
      </c>
      <c r="AB57" s="217">
        <f>AB55+AB56</f>
        <v>0</v>
      </c>
      <c r="AC57" s="217">
        <f>AC55+AC56</f>
        <v>0</v>
      </c>
      <c r="AD57" s="217">
        <f>AD55+AD56</f>
        <v>0</v>
      </c>
      <c r="AE57" s="217">
        <f>AE55+AE56</f>
        <v>0</v>
      </c>
      <c r="AF57" s="217">
        <f>AF55+AF56</f>
        <v>0</v>
      </c>
      <c r="AG57" s="217">
        <f t="shared" ref="AG57:AP57" si="46">AG55+AG56</f>
        <v>0</v>
      </c>
      <c r="AH57" s="217">
        <f t="shared" si="46"/>
        <v>0</v>
      </c>
      <c r="AI57" s="217">
        <f t="shared" si="46"/>
        <v>0</v>
      </c>
      <c r="AJ57" s="217">
        <f t="shared" si="46"/>
        <v>0</v>
      </c>
      <c r="AK57" s="217">
        <f t="shared" si="46"/>
        <v>0</v>
      </c>
      <c r="AL57" s="217">
        <f t="shared" si="46"/>
        <v>0</v>
      </c>
      <c r="AM57" s="217">
        <f t="shared" si="46"/>
        <v>0</v>
      </c>
      <c r="AN57" s="217">
        <f t="shared" si="46"/>
        <v>0</v>
      </c>
      <c r="AO57" s="217">
        <f t="shared" si="46"/>
        <v>0</v>
      </c>
      <c r="AP57" s="211">
        <f t="shared" si="46"/>
        <v>0</v>
      </c>
    </row>
    <row r="58" spans="2:42">
      <c r="B58" s="52"/>
      <c r="C58" s="24"/>
      <c r="D58" s="24"/>
      <c r="E58" s="24"/>
      <c r="F58" s="24"/>
      <c r="G58" s="21"/>
      <c r="H58" s="23"/>
      <c r="I58" s="23"/>
      <c r="J58" s="23"/>
      <c r="K58" s="23"/>
      <c r="L58" s="23"/>
      <c r="AP58" s="134"/>
    </row>
    <row r="59" spans="2:42">
      <c r="B59" s="53" t="s">
        <v>18</v>
      </c>
      <c r="C59" s="54"/>
      <c r="D59" s="54"/>
      <c r="E59" s="54"/>
      <c r="F59" s="51"/>
      <c r="G59" s="55" t="s">
        <v>17</v>
      </c>
      <c r="H59" s="56" t="str">
        <f t="shared" ref="H59:V59" si="47">IF(ISERROR(H53/-H57),"",IF((H53/-H57)&gt;100,"",H53/-H57))</f>
        <v/>
      </c>
      <c r="I59" s="56" t="str">
        <f t="shared" si="47"/>
        <v/>
      </c>
      <c r="J59" s="56" t="str">
        <f t="shared" si="47"/>
        <v/>
      </c>
      <c r="K59" s="56" t="str">
        <f t="shared" si="47"/>
        <v/>
      </c>
      <c r="L59" s="56" t="str">
        <f t="shared" si="47"/>
        <v/>
      </c>
      <c r="M59" s="56" t="str">
        <f t="shared" si="47"/>
        <v/>
      </c>
      <c r="N59" s="56" t="str">
        <f t="shared" si="47"/>
        <v/>
      </c>
      <c r="O59" s="56" t="str">
        <f t="shared" si="47"/>
        <v/>
      </c>
      <c r="P59" s="56" t="str">
        <f t="shared" si="47"/>
        <v/>
      </c>
      <c r="Q59" s="56" t="str">
        <f t="shared" si="47"/>
        <v/>
      </c>
      <c r="R59" s="56" t="str">
        <f t="shared" si="47"/>
        <v/>
      </c>
      <c r="S59" s="56" t="str">
        <f t="shared" si="47"/>
        <v/>
      </c>
      <c r="T59" s="56" t="str">
        <f t="shared" si="47"/>
        <v/>
      </c>
      <c r="U59" s="56" t="str">
        <f t="shared" si="47"/>
        <v/>
      </c>
      <c r="V59" s="56" t="str">
        <f t="shared" si="47"/>
        <v/>
      </c>
      <c r="W59" s="56" t="str">
        <f t="shared" ref="W59:AF59" si="48">IF(ISERROR(W53/-W57),"",IF((W53/-W57)&gt;100,"",W53/-W57))</f>
        <v/>
      </c>
      <c r="X59" s="56" t="str">
        <f t="shared" si="48"/>
        <v/>
      </c>
      <c r="Y59" s="56" t="str">
        <f t="shared" si="48"/>
        <v/>
      </c>
      <c r="Z59" s="56" t="str">
        <f t="shared" si="48"/>
        <v/>
      </c>
      <c r="AA59" s="56" t="str">
        <f t="shared" si="48"/>
        <v/>
      </c>
      <c r="AB59" s="56" t="str">
        <f t="shared" si="48"/>
        <v/>
      </c>
      <c r="AC59" s="56" t="str">
        <f t="shared" si="48"/>
        <v/>
      </c>
      <c r="AD59" s="56" t="str">
        <f t="shared" si="48"/>
        <v/>
      </c>
      <c r="AE59" s="56" t="str">
        <f t="shared" si="48"/>
        <v/>
      </c>
      <c r="AF59" s="56" t="str">
        <f t="shared" si="48"/>
        <v/>
      </c>
      <c r="AG59" s="56" t="str">
        <f t="shared" ref="AG59:AP59" si="49">IF(ISERROR(AG53/-AG57),"",IF((AG53/-AG57)&gt;100,"",AG53/-AG57))</f>
        <v/>
      </c>
      <c r="AH59" s="56" t="str">
        <f t="shared" si="49"/>
        <v/>
      </c>
      <c r="AI59" s="56" t="str">
        <f t="shared" si="49"/>
        <v/>
      </c>
      <c r="AJ59" s="56" t="str">
        <f t="shared" si="49"/>
        <v/>
      </c>
      <c r="AK59" s="56" t="str">
        <f t="shared" si="49"/>
        <v/>
      </c>
      <c r="AL59" s="56" t="str">
        <f t="shared" si="49"/>
        <v/>
      </c>
      <c r="AM59" s="56" t="str">
        <f t="shared" si="49"/>
        <v/>
      </c>
      <c r="AN59" s="56" t="str">
        <f t="shared" si="49"/>
        <v/>
      </c>
      <c r="AO59" s="56" t="str">
        <f t="shared" si="49"/>
        <v/>
      </c>
      <c r="AP59" s="139" t="str">
        <f t="shared" si="49"/>
        <v/>
      </c>
    </row>
    <row r="60" spans="2:42">
      <c r="B60" s="119" t="s">
        <v>143</v>
      </c>
      <c r="C60" s="120">
        <f ca="1">MIN(OFFSET(H59,0,0,1,'Dane inwestycji'!F31))</f>
        <v>0</v>
      </c>
      <c r="E60" s="57"/>
      <c r="F60" s="58"/>
      <c r="G60" s="59"/>
      <c r="H60" s="40"/>
      <c r="I60" s="40"/>
      <c r="J60" s="40"/>
      <c r="K60" s="40"/>
      <c r="AP60" s="134"/>
    </row>
    <row r="61" spans="2:42">
      <c r="B61" s="118" t="s">
        <v>144</v>
      </c>
      <c r="C61" s="117" t="str">
        <f ca="1">IFERROR(AVERAGE(OFFSET(H59,0,0,1,'Dane inwestycji'!F31-1)),"")</f>
        <v/>
      </c>
      <c r="E61" s="57"/>
      <c r="F61" s="58"/>
      <c r="G61" s="60"/>
      <c r="H61" s="61"/>
      <c r="I61" s="61"/>
      <c r="J61" s="61"/>
      <c r="K61" s="61"/>
      <c r="AP61" s="134"/>
    </row>
    <row r="62" spans="2:42">
      <c r="B62" s="25"/>
      <c r="C62" s="24"/>
      <c r="D62" s="57"/>
      <c r="E62" s="57"/>
      <c r="F62" s="24"/>
      <c r="G62" s="62"/>
      <c r="H62" s="61"/>
      <c r="I62" s="61"/>
      <c r="J62" s="61"/>
      <c r="K62" s="61"/>
      <c r="AP62" s="134"/>
    </row>
    <row r="63" spans="2:42">
      <c r="B63" s="209" t="s">
        <v>146</v>
      </c>
      <c r="C63" s="210"/>
      <c r="D63" s="210"/>
      <c r="E63" s="210"/>
      <c r="F63" s="154">
        <f>SUM(G63:AP63)</f>
        <v>0.29404996244999998</v>
      </c>
      <c r="G63" s="211">
        <f>G10</f>
        <v>0</v>
      </c>
      <c r="H63" s="265">
        <f>H53+H57</f>
        <v>0.29404996244999998</v>
      </c>
      <c r="I63" s="214">
        <f>I53+I57</f>
        <v>0</v>
      </c>
      <c r="J63" s="214">
        <f t="shared" ref="J63:AA63" si="50">J53+J57</f>
        <v>0</v>
      </c>
      <c r="K63" s="214">
        <f t="shared" si="50"/>
        <v>0</v>
      </c>
      <c r="L63" s="214">
        <f t="shared" si="50"/>
        <v>0</v>
      </c>
      <c r="M63" s="214">
        <f t="shared" si="50"/>
        <v>0</v>
      </c>
      <c r="N63" s="214">
        <f t="shared" si="50"/>
        <v>0</v>
      </c>
      <c r="O63" s="214">
        <f t="shared" si="50"/>
        <v>0</v>
      </c>
      <c r="P63" s="214">
        <f t="shared" si="50"/>
        <v>0</v>
      </c>
      <c r="Q63" s="214">
        <f t="shared" si="50"/>
        <v>0</v>
      </c>
      <c r="R63" s="214">
        <f t="shared" si="50"/>
        <v>0</v>
      </c>
      <c r="S63" s="214">
        <f t="shared" si="50"/>
        <v>0</v>
      </c>
      <c r="T63" s="214">
        <f t="shared" si="50"/>
        <v>0</v>
      </c>
      <c r="U63" s="214">
        <f t="shared" si="50"/>
        <v>0</v>
      </c>
      <c r="V63" s="214">
        <f t="shared" si="50"/>
        <v>0</v>
      </c>
      <c r="W63" s="214">
        <f t="shared" si="50"/>
        <v>0</v>
      </c>
      <c r="X63" s="214">
        <f t="shared" si="50"/>
        <v>0</v>
      </c>
      <c r="Y63" s="214">
        <f t="shared" si="50"/>
        <v>0</v>
      </c>
      <c r="Z63" s="214">
        <f t="shared" si="50"/>
        <v>0</v>
      </c>
      <c r="AA63" s="214">
        <f t="shared" si="50"/>
        <v>0</v>
      </c>
      <c r="AB63" s="214">
        <f>AB53+AB57</f>
        <v>0</v>
      </c>
      <c r="AC63" s="214">
        <f>AC53+AC57</f>
        <v>0</v>
      </c>
      <c r="AD63" s="214">
        <f>AD53+AD57</f>
        <v>0</v>
      </c>
      <c r="AE63" s="214">
        <f>AE53+AE57</f>
        <v>0</v>
      </c>
      <c r="AF63" s="214">
        <f>AF53+AF57</f>
        <v>0</v>
      </c>
      <c r="AG63" s="214">
        <f t="shared" ref="AG63:AP63" si="51">AG53+AG57</f>
        <v>0</v>
      </c>
      <c r="AH63" s="214">
        <f t="shared" si="51"/>
        <v>0</v>
      </c>
      <c r="AI63" s="214">
        <f t="shared" si="51"/>
        <v>0</v>
      </c>
      <c r="AJ63" s="214">
        <f t="shared" si="51"/>
        <v>0</v>
      </c>
      <c r="AK63" s="214">
        <f t="shared" si="51"/>
        <v>0</v>
      </c>
      <c r="AL63" s="214">
        <f t="shared" si="51"/>
        <v>0</v>
      </c>
      <c r="AM63" s="214">
        <f t="shared" si="51"/>
        <v>0</v>
      </c>
      <c r="AN63" s="214">
        <f t="shared" si="51"/>
        <v>0</v>
      </c>
      <c r="AO63" s="214">
        <f t="shared" si="51"/>
        <v>0</v>
      </c>
      <c r="AP63" s="215">
        <f t="shared" si="51"/>
        <v>0</v>
      </c>
    </row>
    <row r="64" spans="2:42">
      <c r="B64" s="49" t="s">
        <v>46</v>
      </c>
      <c r="C64" s="50"/>
      <c r="D64" s="50"/>
      <c r="E64" s="50"/>
      <c r="F64" s="206" t="e">
        <f>IRR(G63:AA63,)</f>
        <v>#NUM!</v>
      </c>
      <c r="G64" s="65"/>
      <c r="H64" s="66"/>
      <c r="I64" s="66"/>
      <c r="J64" s="66"/>
      <c r="K64" s="66"/>
      <c r="L64" s="218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135"/>
    </row>
    <row r="65" spans="2:42">
      <c r="B65" s="63"/>
      <c r="C65" s="64"/>
      <c r="D65" s="64"/>
      <c r="E65" s="64"/>
      <c r="F65" s="207"/>
      <c r="G65" s="65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135"/>
    </row>
    <row r="66" spans="2:42">
      <c r="B66" s="209" t="s">
        <v>45</v>
      </c>
      <c r="C66" s="210"/>
      <c r="D66" s="210"/>
      <c r="E66" s="210"/>
      <c r="F66" s="212">
        <f>SUM(G66:AP66)</f>
        <v>0.29404996244999998</v>
      </c>
      <c r="G66" s="213">
        <f>G9</f>
        <v>0</v>
      </c>
      <c r="H66" s="214">
        <f>H53+H32*$E$39-IF(H36&lt;=0,H36*$E$39,0)</f>
        <v>0.29404996244999998</v>
      </c>
      <c r="I66" s="214">
        <f t="shared" ref="I66:AF66" si="52">I53+I32*$E$39-IF(I36&lt;=0,I36*$E$39,0)</f>
        <v>0</v>
      </c>
      <c r="J66" s="214">
        <f t="shared" si="52"/>
        <v>0</v>
      </c>
      <c r="K66" s="214">
        <f t="shared" si="52"/>
        <v>0</v>
      </c>
      <c r="L66" s="214">
        <f t="shared" si="52"/>
        <v>0</v>
      </c>
      <c r="M66" s="214">
        <f t="shared" si="52"/>
        <v>0</v>
      </c>
      <c r="N66" s="214">
        <f t="shared" si="52"/>
        <v>0</v>
      </c>
      <c r="O66" s="214">
        <f t="shared" si="52"/>
        <v>0</v>
      </c>
      <c r="P66" s="214">
        <f t="shared" si="52"/>
        <v>0</v>
      </c>
      <c r="Q66" s="214">
        <f t="shared" si="52"/>
        <v>0</v>
      </c>
      <c r="R66" s="214">
        <f t="shared" si="52"/>
        <v>0</v>
      </c>
      <c r="S66" s="214">
        <f t="shared" si="52"/>
        <v>0</v>
      </c>
      <c r="T66" s="214">
        <f t="shared" si="52"/>
        <v>0</v>
      </c>
      <c r="U66" s="214">
        <f t="shared" si="52"/>
        <v>0</v>
      </c>
      <c r="V66" s="214">
        <f t="shared" si="52"/>
        <v>0</v>
      </c>
      <c r="W66" s="214">
        <f t="shared" si="52"/>
        <v>0</v>
      </c>
      <c r="X66" s="214">
        <f t="shared" si="52"/>
        <v>0</v>
      </c>
      <c r="Y66" s="214">
        <f t="shared" si="52"/>
        <v>0</v>
      </c>
      <c r="Z66" s="214">
        <f t="shared" si="52"/>
        <v>0</v>
      </c>
      <c r="AA66" s="214">
        <f t="shared" si="52"/>
        <v>0</v>
      </c>
      <c r="AB66" s="214">
        <f t="shared" si="52"/>
        <v>0</v>
      </c>
      <c r="AC66" s="214">
        <f t="shared" si="52"/>
        <v>0</v>
      </c>
      <c r="AD66" s="214">
        <f t="shared" si="52"/>
        <v>0</v>
      </c>
      <c r="AE66" s="214">
        <f t="shared" si="52"/>
        <v>0</v>
      </c>
      <c r="AF66" s="214">
        <f t="shared" si="52"/>
        <v>0</v>
      </c>
      <c r="AG66" s="214">
        <f t="shared" ref="AG66:AP66" si="53">AG53+AG32*$E$39-IF(AG36&lt;=0,AG36*$E$39,0)</f>
        <v>0</v>
      </c>
      <c r="AH66" s="214">
        <f t="shared" si="53"/>
        <v>0</v>
      </c>
      <c r="AI66" s="214">
        <f t="shared" si="53"/>
        <v>0</v>
      </c>
      <c r="AJ66" s="214">
        <f t="shared" si="53"/>
        <v>0</v>
      </c>
      <c r="AK66" s="214">
        <f t="shared" si="53"/>
        <v>0</v>
      </c>
      <c r="AL66" s="214">
        <f t="shared" si="53"/>
        <v>0</v>
      </c>
      <c r="AM66" s="214">
        <f t="shared" si="53"/>
        <v>0</v>
      </c>
      <c r="AN66" s="214">
        <f t="shared" si="53"/>
        <v>0</v>
      </c>
      <c r="AO66" s="214">
        <f t="shared" si="53"/>
        <v>0</v>
      </c>
      <c r="AP66" s="215">
        <f t="shared" si="53"/>
        <v>0</v>
      </c>
    </row>
    <row r="67" spans="2:42">
      <c r="B67" s="49" t="s">
        <v>59</v>
      </c>
      <c r="C67" s="208"/>
      <c r="D67" s="208"/>
      <c r="E67" s="208"/>
      <c r="F67" s="206" t="e">
        <f>IRR(G66:AP66,)</f>
        <v>#NUM!</v>
      </c>
      <c r="G67" s="18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  <c r="AM67" s="260"/>
      <c r="AN67" s="260"/>
      <c r="AO67" s="260"/>
      <c r="AP67" s="261"/>
    </row>
    <row r="68" spans="2:42">
      <c r="B68" s="295"/>
      <c r="C68" s="296"/>
      <c r="D68" s="296"/>
      <c r="E68" s="296"/>
      <c r="F68" s="297"/>
      <c r="G68" s="298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299"/>
      <c r="S68" s="299"/>
      <c r="T68" s="299"/>
      <c r="U68" s="299"/>
      <c r="V68" s="299"/>
      <c r="W68" s="299"/>
      <c r="X68" s="299"/>
      <c r="Y68" s="299"/>
      <c r="Z68" s="299"/>
      <c r="AA68" s="299"/>
      <c r="AB68" s="299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300"/>
    </row>
    <row r="69" spans="2:42">
      <c r="B69" s="63"/>
      <c r="F69" s="207"/>
      <c r="G69" s="18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P69" s="134"/>
    </row>
    <row r="70" spans="2:42">
      <c r="B70" s="107" t="s">
        <v>27</v>
      </c>
      <c r="C70" s="24"/>
      <c r="D70" s="24"/>
      <c r="F70" s="24" t="s">
        <v>26</v>
      </c>
      <c r="G70" s="18">
        <v>0</v>
      </c>
      <c r="H70" s="10">
        <v>1</v>
      </c>
      <c r="I70" s="10">
        <v>2</v>
      </c>
      <c r="J70" s="10">
        <v>3</v>
      </c>
      <c r="K70" s="10">
        <v>4</v>
      </c>
      <c r="L70" s="10">
        <v>5</v>
      </c>
      <c r="M70" s="10">
        <v>6</v>
      </c>
      <c r="N70" s="10">
        <v>7</v>
      </c>
      <c r="O70" s="10">
        <v>8</v>
      </c>
      <c r="P70" s="10">
        <v>9</v>
      </c>
      <c r="Q70" s="10">
        <v>10</v>
      </c>
      <c r="R70" s="10">
        <v>11</v>
      </c>
      <c r="S70" s="10">
        <v>12</v>
      </c>
      <c r="T70" s="10">
        <v>13</v>
      </c>
      <c r="U70" s="10">
        <v>14</v>
      </c>
      <c r="V70" s="10">
        <v>15</v>
      </c>
      <c r="W70" s="10">
        <v>16</v>
      </c>
      <c r="X70" s="10">
        <v>17</v>
      </c>
      <c r="Y70" s="10">
        <v>18</v>
      </c>
      <c r="Z70" s="10">
        <v>19</v>
      </c>
      <c r="AA70" s="10">
        <v>20</v>
      </c>
      <c r="AB70" s="10">
        <v>21</v>
      </c>
      <c r="AC70" s="10">
        <v>22</v>
      </c>
      <c r="AD70" s="10">
        <v>23</v>
      </c>
      <c r="AE70" s="10">
        <v>24</v>
      </c>
      <c r="AF70" s="10">
        <v>25</v>
      </c>
      <c r="AG70" s="10">
        <v>26</v>
      </c>
      <c r="AH70" s="10">
        <v>27</v>
      </c>
      <c r="AI70" s="10">
        <v>28</v>
      </c>
      <c r="AJ70" s="10">
        <v>29</v>
      </c>
      <c r="AK70" s="10">
        <v>30</v>
      </c>
      <c r="AL70" s="10">
        <v>31</v>
      </c>
      <c r="AM70" s="10">
        <v>32</v>
      </c>
      <c r="AN70" s="10">
        <v>33</v>
      </c>
      <c r="AO70" s="10">
        <v>34</v>
      </c>
      <c r="AP70" s="134">
        <v>35</v>
      </c>
    </row>
    <row r="71" spans="2:42">
      <c r="B71" s="107" t="s">
        <v>25</v>
      </c>
      <c r="C71" s="24"/>
      <c r="D71" s="24"/>
      <c r="E71" s="24"/>
      <c r="F71" s="288">
        <f>'Dane inwestycji'!F84</f>
        <v>0.107</v>
      </c>
      <c r="G71" s="108">
        <f t="shared" ref="G71:AA71" si="54">1/(1+$F$71)^G70</f>
        <v>1</v>
      </c>
      <c r="H71" s="109">
        <f t="shared" si="54"/>
        <v>0.90334236675700097</v>
      </c>
      <c r="I71" s="109">
        <f t="shared" si="54"/>
        <v>0.81602743157813995</v>
      </c>
      <c r="J71" s="109">
        <f t="shared" si="54"/>
        <v>0.73715215138043355</v>
      </c>
      <c r="K71" s="109">
        <f t="shared" si="54"/>
        <v>0.66590076908801588</v>
      </c>
      <c r="L71" s="109">
        <f t="shared" si="54"/>
        <v>0.60153637677327532</v>
      </c>
      <c r="M71" s="109">
        <f t="shared" si="54"/>
        <v>0.54339329428480154</v>
      </c>
      <c r="N71" s="109">
        <f t="shared" si="54"/>
        <v>0.49087018453911618</v>
      </c>
      <c r="O71" s="109">
        <f t="shared" si="54"/>
        <v>0.44342383427201099</v>
      </c>
      <c r="P71" s="109">
        <f t="shared" si="54"/>
        <v>0.40056353592774258</v>
      </c>
      <c r="Q71" s="109">
        <f t="shared" si="54"/>
        <v>0.36184601258151988</v>
      </c>
      <c r="R71" s="109">
        <f t="shared" si="54"/>
        <v>0.32687083340697376</v>
      </c>
      <c r="S71" s="109">
        <f t="shared" si="54"/>
        <v>0.29527627227368902</v>
      </c>
      <c r="T71" s="109">
        <f t="shared" si="54"/>
        <v>0.26673556664289882</v>
      </c>
      <c r="U71" s="109">
        <f t="shared" si="54"/>
        <v>0.24095353806946596</v>
      </c>
      <c r="V71" s="109">
        <f t="shared" si="54"/>
        <v>0.2176635393581445</v>
      </c>
      <c r="W71" s="109">
        <f t="shared" si="54"/>
        <v>0.19662469680049188</v>
      </c>
      <c r="X71" s="109">
        <f t="shared" si="54"/>
        <v>0.17761941897063405</v>
      </c>
      <c r="Y71" s="109">
        <f t="shared" si="54"/>
        <v>0.1604511463149359</v>
      </c>
      <c r="Z71" s="109">
        <f t="shared" si="54"/>
        <v>0.14494231826100806</v>
      </c>
      <c r="AA71" s="109">
        <f t="shared" si="54"/>
        <v>0.13093253682114547</v>
      </c>
      <c r="AB71" s="109">
        <f>1/(1+$F$71)^AB70</f>
        <v>0.11827690769751172</v>
      </c>
      <c r="AC71" s="109">
        <f>1/(1+$F$71)^AC70</f>
        <v>0.10684454173216958</v>
      </c>
      <c r="AD71" s="109">
        <f>1/(1+$F$71)^AD70</f>
        <v>9.651720120340522E-2</v>
      </c>
      <c r="AE71" s="109">
        <f>1/(1+$F$71)^AE70</f>
        <v>8.7188076967845723E-2</v>
      </c>
      <c r="AF71" s="109">
        <f>1/(1+$F$71)^AF70</f>
        <v>7.8760683801125317E-2</v>
      </c>
      <c r="AG71" s="109">
        <f t="shared" ref="AG71:AP71" si="55">1/(1+$F$71)^AG70</f>
        <v>7.1147862512308327E-2</v>
      </c>
      <c r="AH71" s="109">
        <f t="shared" si="55"/>
        <v>6.4270878511570304E-2</v>
      </c>
      <c r="AI71" s="109">
        <f t="shared" si="55"/>
        <v>5.8058607508193583E-2</v>
      </c>
      <c r="AJ71" s="109">
        <f t="shared" si="55"/>
        <v>5.2446799917067376E-2</v>
      </c>
      <c r="AK71" s="109">
        <f t="shared" si="55"/>
        <v>4.7377416365914519E-2</v>
      </c>
      <c r="AL71" s="109">
        <f t="shared" si="55"/>
        <v>4.2798027430817093E-2</v>
      </c>
      <c r="AM71" s="109">
        <f t="shared" si="55"/>
        <v>3.8661271391885361E-2</v>
      </c>
      <c r="AN71" s="109">
        <f t="shared" si="55"/>
        <v>3.4924364400980457E-2</v>
      </c>
      <c r="AO71" s="109">
        <f t="shared" si="55"/>
        <v>3.1548657995465634E-2</v>
      </c>
      <c r="AP71" s="140">
        <f t="shared" si="55"/>
        <v>2.8499239381631104E-2</v>
      </c>
    </row>
    <row r="72" spans="2:42">
      <c r="B72" s="289" t="s">
        <v>57</v>
      </c>
      <c r="C72" s="290"/>
      <c r="D72" s="290"/>
      <c r="E72" s="290"/>
      <c r="F72" s="291">
        <f>SUM(G72:AP72)</f>
        <v>0.26562778902439027</v>
      </c>
      <c r="G72" s="292">
        <f>G10</f>
        <v>0</v>
      </c>
      <c r="H72" s="293">
        <f t="shared" ref="H72:AA72" si="56">H63*H71</f>
        <v>0.26562778902439027</v>
      </c>
      <c r="I72" s="293">
        <f t="shared" si="56"/>
        <v>0</v>
      </c>
      <c r="J72" s="293">
        <f t="shared" si="56"/>
        <v>0</v>
      </c>
      <c r="K72" s="293">
        <f t="shared" si="56"/>
        <v>0</v>
      </c>
      <c r="L72" s="293">
        <f t="shared" si="56"/>
        <v>0</v>
      </c>
      <c r="M72" s="293">
        <f t="shared" si="56"/>
        <v>0</v>
      </c>
      <c r="N72" s="293">
        <f t="shared" si="56"/>
        <v>0</v>
      </c>
      <c r="O72" s="293">
        <f t="shared" si="56"/>
        <v>0</v>
      </c>
      <c r="P72" s="293">
        <f t="shared" si="56"/>
        <v>0</v>
      </c>
      <c r="Q72" s="293">
        <f t="shared" si="56"/>
        <v>0</v>
      </c>
      <c r="R72" s="293">
        <f t="shared" si="56"/>
        <v>0</v>
      </c>
      <c r="S72" s="293">
        <f t="shared" si="56"/>
        <v>0</v>
      </c>
      <c r="T72" s="293">
        <f t="shared" si="56"/>
        <v>0</v>
      </c>
      <c r="U72" s="293">
        <f t="shared" si="56"/>
        <v>0</v>
      </c>
      <c r="V72" s="293">
        <f t="shared" si="56"/>
        <v>0</v>
      </c>
      <c r="W72" s="293">
        <f t="shared" si="56"/>
        <v>0</v>
      </c>
      <c r="X72" s="293">
        <f t="shared" si="56"/>
        <v>0</v>
      </c>
      <c r="Y72" s="293">
        <f t="shared" si="56"/>
        <v>0</v>
      </c>
      <c r="Z72" s="293">
        <f t="shared" si="56"/>
        <v>0</v>
      </c>
      <c r="AA72" s="293">
        <f t="shared" si="56"/>
        <v>0</v>
      </c>
      <c r="AB72" s="293">
        <f>AB63*AB71</f>
        <v>0</v>
      </c>
      <c r="AC72" s="293">
        <f>AC63*AC71</f>
        <v>0</v>
      </c>
      <c r="AD72" s="293">
        <f>AD63*AD71</f>
        <v>0</v>
      </c>
      <c r="AE72" s="293">
        <f>AE63*AE71</f>
        <v>0</v>
      </c>
      <c r="AF72" s="293">
        <f>AF63*AF71</f>
        <v>0</v>
      </c>
      <c r="AG72" s="293">
        <f t="shared" ref="AG72:AP72" si="57">AG63*AG71</f>
        <v>0</v>
      </c>
      <c r="AH72" s="293">
        <f t="shared" si="57"/>
        <v>0</v>
      </c>
      <c r="AI72" s="293">
        <f t="shared" si="57"/>
        <v>0</v>
      </c>
      <c r="AJ72" s="293">
        <f t="shared" si="57"/>
        <v>0</v>
      </c>
      <c r="AK72" s="293">
        <f t="shared" si="57"/>
        <v>0</v>
      </c>
      <c r="AL72" s="293">
        <f t="shared" si="57"/>
        <v>0</v>
      </c>
      <c r="AM72" s="293">
        <f t="shared" si="57"/>
        <v>0</v>
      </c>
      <c r="AN72" s="293">
        <f t="shared" si="57"/>
        <v>0</v>
      </c>
      <c r="AO72" s="293">
        <f t="shared" si="57"/>
        <v>0</v>
      </c>
      <c r="AP72" s="294">
        <f t="shared" si="57"/>
        <v>0</v>
      </c>
    </row>
    <row r="73" spans="2:42" ht="8.25" customHeight="1">
      <c r="F73" s="207"/>
    </row>
    <row r="74" spans="2:42">
      <c r="B74" s="123" t="s">
        <v>39</v>
      </c>
    </row>
    <row r="75" spans="2:42">
      <c r="B75" s="10" t="s">
        <v>40</v>
      </c>
    </row>
    <row r="76" spans="2:42">
      <c r="B76" s="10" t="s">
        <v>38</v>
      </c>
    </row>
    <row r="77" spans="2:42">
      <c r="B77" s="121" t="s">
        <v>41</v>
      </c>
      <c r="C77" s="121">
        <f t="shared" ref="C77:G78" si="58">C55</f>
        <v>0</v>
      </c>
      <c r="D77" s="121">
        <f t="shared" si="58"/>
        <v>0</v>
      </c>
      <c r="E77" s="121">
        <f t="shared" si="58"/>
        <v>0</v>
      </c>
      <c r="F77" s="121">
        <f t="shared" si="58"/>
        <v>0</v>
      </c>
      <c r="G77" s="121">
        <f t="shared" si="58"/>
        <v>0</v>
      </c>
      <c r="H77" s="121">
        <f t="shared" ref="H77:AF77" si="59">-H55</f>
        <v>0</v>
      </c>
      <c r="I77" s="121">
        <f t="shared" si="59"/>
        <v>0</v>
      </c>
      <c r="J77" s="121">
        <f t="shared" si="59"/>
        <v>0</v>
      </c>
      <c r="K77" s="121">
        <f t="shared" si="59"/>
        <v>0</v>
      </c>
      <c r="L77" s="121">
        <f t="shared" si="59"/>
        <v>0</v>
      </c>
      <c r="M77" s="121">
        <f t="shared" si="59"/>
        <v>0</v>
      </c>
      <c r="N77" s="121">
        <f t="shared" si="59"/>
        <v>0</v>
      </c>
      <c r="O77" s="121">
        <f t="shared" si="59"/>
        <v>0</v>
      </c>
      <c r="P77" s="121">
        <f t="shared" si="59"/>
        <v>0</v>
      </c>
      <c r="Q77" s="121">
        <f t="shared" si="59"/>
        <v>0</v>
      </c>
      <c r="R77" s="121">
        <f t="shared" si="59"/>
        <v>0</v>
      </c>
      <c r="S77" s="121">
        <f t="shared" si="59"/>
        <v>0</v>
      </c>
      <c r="T77" s="121">
        <f t="shared" si="59"/>
        <v>0</v>
      </c>
      <c r="U77" s="121">
        <f t="shared" si="59"/>
        <v>0</v>
      </c>
      <c r="V77" s="121">
        <f t="shared" si="59"/>
        <v>0</v>
      </c>
      <c r="W77" s="121">
        <f t="shared" si="59"/>
        <v>0</v>
      </c>
      <c r="X77" s="121">
        <f t="shared" si="59"/>
        <v>0</v>
      </c>
      <c r="Y77" s="121">
        <f t="shared" si="59"/>
        <v>0</v>
      </c>
      <c r="Z77" s="121">
        <f t="shared" si="59"/>
        <v>0</v>
      </c>
      <c r="AA77" s="121">
        <f t="shared" si="59"/>
        <v>0</v>
      </c>
      <c r="AB77" s="121">
        <f t="shared" si="59"/>
        <v>0</v>
      </c>
      <c r="AC77" s="121">
        <f t="shared" si="59"/>
        <v>0</v>
      </c>
      <c r="AD77" s="121">
        <f t="shared" si="59"/>
        <v>0</v>
      </c>
      <c r="AE77" s="121">
        <f t="shared" si="59"/>
        <v>0</v>
      </c>
      <c r="AF77" s="121">
        <f t="shared" si="59"/>
        <v>0</v>
      </c>
      <c r="AG77" s="121">
        <f t="shared" ref="AG77:AP77" si="60">-AG55</f>
        <v>0</v>
      </c>
      <c r="AH77" s="121">
        <f t="shared" si="60"/>
        <v>0</v>
      </c>
      <c r="AI77" s="121">
        <f t="shared" si="60"/>
        <v>0</v>
      </c>
      <c r="AJ77" s="121">
        <f t="shared" si="60"/>
        <v>0</v>
      </c>
      <c r="AK77" s="121">
        <f t="shared" si="60"/>
        <v>0</v>
      </c>
      <c r="AL77" s="121">
        <f t="shared" si="60"/>
        <v>0</v>
      </c>
      <c r="AM77" s="121">
        <f t="shared" si="60"/>
        <v>0</v>
      </c>
      <c r="AN77" s="121">
        <f t="shared" si="60"/>
        <v>0</v>
      </c>
      <c r="AO77" s="121">
        <f t="shared" si="60"/>
        <v>0</v>
      </c>
      <c r="AP77" s="121">
        <f t="shared" si="60"/>
        <v>0</v>
      </c>
    </row>
    <row r="78" spans="2:42">
      <c r="B78" s="121" t="s">
        <v>42</v>
      </c>
      <c r="C78" s="121">
        <f t="shared" si="58"/>
        <v>0</v>
      </c>
      <c r="D78" s="121">
        <f t="shared" si="58"/>
        <v>0</v>
      </c>
      <c r="E78" s="121">
        <f t="shared" si="58"/>
        <v>0</v>
      </c>
      <c r="F78" s="121">
        <f t="shared" si="58"/>
        <v>0</v>
      </c>
      <c r="G78" s="121">
        <f t="shared" si="58"/>
        <v>0</v>
      </c>
      <c r="H78" s="121">
        <f t="shared" ref="H78:AF78" si="61">-H56</f>
        <v>0</v>
      </c>
      <c r="I78" s="121">
        <f t="shared" si="61"/>
        <v>0</v>
      </c>
      <c r="J78" s="121">
        <f t="shared" si="61"/>
        <v>0</v>
      </c>
      <c r="K78" s="121">
        <f t="shared" si="61"/>
        <v>0</v>
      </c>
      <c r="L78" s="121">
        <f t="shared" si="61"/>
        <v>0</v>
      </c>
      <c r="M78" s="121">
        <f t="shared" si="61"/>
        <v>0</v>
      </c>
      <c r="N78" s="121">
        <f t="shared" si="61"/>
        <v>0</v>
      </c>
      <c r="O78" s="121">
        <f t="shared" si="61"/>
        <v>0</v>
      </c>
      <c r="P78" s="121">
        <f t="shared" si="61"/>
        <v>0</v>
      </c>
      <c r="Q78" s="121">
        <f t="shared" si="61"/>
        <v>0</v>
      </c>
      <c r="R78" s="121">
        <f t="shared" si="61"/>
        <v>0</v>
      </c>
      <c r="S78" s="121">
        <f t="shared" si="61"/>
        <v>0</v>
      </c>
      <c r="T78" s="121">
        <f t="shared" si="61"/>
        <v>0</v>
      </c>
      <c r="U78" s="121">
        <f t="shared" si="61"/>
        <v>0</v>
      </c>
      <c r="V78" s="121">
        <f t="shared" si="61"/>
        <v>0</v>
      </c>
      <c r="W78" s="121">
        <f t="shared" si="61"/>
        <v>0</v>
      </c>
      <c r="X78" s="121">
        <f t="shared" si="61"/>
        <v>0</v>
      </c>
      <c r="Y78" s="121">
        <f t="shared" si="61"/>
        <v>0</v>
      </c>
      <c r="Z78" s="121">
        <f t="shared" si="61"/>
        <v>0</v>
      </c>
      <c r="AA78" s="121">
        <f t="shared" si="61"/>
        <v>0</v>
      </c>
      <c r="AB78" s="121">
        <f t="shared" si="61"/>
        <v>0</v>
      </c>
      <c r="AC78" s="121">
        <f t="shared" si="61"/>
        <v>0</v>
      </c>
      <c r="AD78" s="121">
        <f t="shared" si="61"/>
        <v>0</v>
      </c>
      <c r="AE78" s="121">
        <f t="shared" si="61"/>
        <v>0</v>
      </c>
      <c r="AF78" s="121">
        <f t="shared" si="61"/>
        <v>0</v>
      </c>
      <c r="AG78" s="121">
        <f t="shared" ref="AG78:AP78" si="62">-AG56</f>
        <v>0</v>
      </c>
      <c r="AH78" s="121">
        <f t="shared" si="62"/>
        <v>0</v>
      </c>
      <c r="AI78" s="121">
        <f t="shared" si="62"/>
        <v>0</v>
      </c>
      <c r="AJ78" s="121">
        <f t="shared" si="62"/>
        <v>0</v>
      </c>
      <c r="AK78" s="121">
        <f t="shared" si="62"/>
        <v>0</v>
      </c>
      <c r="AL78" s="121">
        <f t="shared" si="62"/>
        <v>0</v>
      </c>
      <c r="AM78" s="121">
        <f t="shared" si="62"/>
        <v>0</v>
      </c>
      <c r="AN78" s="121">
        <f t="shared" si="62"/>
        <v>0</v>
      </c>
      <c r="AO78" s="121">
        <f t="shared" si="62"/>
        <v>0</v>
      </c>
      <c r="AP78" s="121">
        <f t="shared" si="62"/>
        <v>0</v>
      </c>
    </row>
    <row r="79" spans="2:42">
      <c r="B79" s="122" t="str">
        <f>B35</f>
        <v>Saldo zadłużenia</v>
      </c>
      <c r="C79" s="122">
        <f>C35</f>
        <v>0</v>
      </c>
      <c r="D79" s="122" t="str">
        <f>E31</f>
        <v>Equal_Principal</v>
      </c>
      <c r="E79" s="122" t="e">
        <f>E35</f>
        <v>#DIV/0!</v>
      </c>
      <c r="F79" s="122">
        <f>F35</f>
        <v>0</v>
      </c>
      <c r="G79" s="122">
        <f t="shared" ref="G79:AF79" si="63">-G35</f>
        <v>0</v>
      </c>
      <c r="H79" s="122">
        <f t="shared" si="63"/>
        <v>0</v>
      </c>
      <c r="I79" s="122">
        <f t="shared" si="63"/>
        <v>0</v>
      </c>
      <c r="J79" s="122">
        <f t="shared" si="63"/>
        <v>0</v>
      </c>
      <c r="K79" s="122">
        <f t="shared" si="63"/>
        <v>0</v>
      </c>
      <c r="L79" s="122">
        <f t="shared" si="63"/>
        <v>0</v>
      </c>
      <c r="M79" s="122">
        <f t="shared" si="63"/>
        <v>0</v>
      </c>
      <c r="N79" s="122">
        <f t="shared" si="63"/>
        <v>0</v>
      </c>
      <c r="O79" s="122">
        <f t="shared" si="63"/>
        <v>0</v>
      </c>
      <c r="P79" s="122">
        <f t="shared" si="63"/>
        <v>0</v>
      </c>
      <c r="Q79" s="122">
        <f t="shared" si="63"/>
        <v>0</v>
      </c>
      <c r="R79" s="122">
        <f t="shared" si="63"/>
        <v>0</v>
      </c>
      <c r="S79" s="122">
        <f t="shared" si="63"/>
        <v>0</v>
      </c>
      <c r="T79" s="122">
        <f t="shared" si="63"/>
        <v>0</v>
      </c>
      <c r="U79" s="122">
        <f t="shared" si="63"/>
        <v>0</v>
      </c>
      <c r="V79" s="122">
        <f t="shared" si="63"/>
        <v>0</v>
      </c>
      <c r="W79" s="122">
        <f t="shared" si="63"/>
        <v>0</v>
      </c>
      <c r="X79" s="122">
        <f t="shared" si="63"/>
        <v>0</v>
      </c>
      <c r="Y79" s="122">
        <f t="shared" si="63"/>
        <v>0</v>
      </c>
      <c r="Z79" s="122">
        <f t="shared" si="63"/>
        <v>0</v>
      </c>
      <c r="AA79" s="122">
        <f t="shared" si="63"/>
        <v>0</v>
      </c>
      <c r="AB79" s="122">
        <f t="shared" si="63"/>
        <v>0</v>
      </c>
      <c r="AC79" s="122">
        <f t="shared" si="63"/>
        <v>0</v>
      </c>
      <c r="AD79" s="122">
        <f t="shared" si="63"/>
        <v>0</v>
      </c>
      <c r="AE79" s="122">
        <f t="shared" si="63"/>
        <v>0</v>
      </c>
      <c r="AF79" s="122">
        <f t="shared" si="63"/>
        <v>0</v>
      </c>
      <c r="AG79" s="122">
        <f t="shared" ref="AG79:AP79" si="64">-AG35</f>
        <v>0</v>
      </c>
      <c r="AH79" s="122">
        <f t="shared" si="64"/>
        <v>0</v>
      </c>
      <c r="AI79" s="122">
        <f t="shared" si="64"/>
        <v>0</v>
      </c>
      <c r="AJ79" s="122">
        <f t="shared" si="64"/>
        <v>0</v>
      </c>
      <c r="AK79" s="122">
        <f t="shared" si="64"/>
        <v>0</v>
      </c>
      <c r="AL79" s="122">
        <f t="shared" si="64"/>
        <v>0</v>
      </c>
      <c r="AM79" s="122">
        <f t="shared" si="64"/>
        <v>0</v>
      </c>
      <c r="AN79" s="122">
        <f t="shared" si="64"/>
        <v>0</v>
      </c>
      <c r="AO79" s="122">
        <f t="shared" si="64"/>
        <v>0</v>
      </c>
      <c r="AP79" s="122">
        <f t="shared" si="64"/>
        <v>0</v>
      </c>
    </row>
    <row r="82" spans="2:42">
      <c r="B82" s="225" t="str">
        <f t="shared" ref="B82:AF82" si="65">B22</f>
        <v>Dierżawa i inne opłaty na rzecz właściela gruntu</v>
      </c>
      <c r="C82" s="225" t="str">
        <f t="shared" si="65"/>
        <v>PLN. '000</v>
      </c>
      <c r="D82" s="225">
        <f t="shared" si="65"/>
        <v>1</v>
      </c>
      <c r="E82" s="225">
        <f t="shared" si="65"/>
        <v>0</v>
      </c>
      <c r="F82" s="225">
        <f t="shared" si="65"/>
        <v>0</v>
      </c>
      <c r="G82" s="225">
        <f t="shared" si="65"/>
        <v>0</v>
      </c>
      <c r="H82" s="225">
        <f t="shared" si="65"/>
        <v>0</v>
      </c>
      <c r="I82" s="225">
        <f t="shared" si="65"/>
        <v>0</v>
      </c>
      <c r="J82" s="225">
        <f t="shared" si="65"/>
        <v>0</v>
      </c>
      <c r="K82" s="225">
        <f t="shared" si="65"/>
        <v>0</v>
      </c>
      <c r="L82" s="225">
        <f t="shared" si="65"/>
        <v>0</v>
      </c>
      <c r="M82" s="225">
        <f t="shared" si="65"/>
        <v>0</v>
      </c>
      <c r="N82" s="225">
        <f t="shared" si="65"/>
        <v>0</v>
      </c>
      <c r="O82" s="225">
        <f t="shared" si="65"/>
        <v>0</v>
      </c>
      <c r="P82" s="225">
        <f t="shared" si="65"/>
        <v>0</v>
      </c>
      <c r="Q82" s="225">
        <f t="shared" si="65"/>
        <v>0</v>
      </c>
      <c r="R82" s="225">
        <f t="shared" si="65"/>
        <v>0</v>
      </c>
      <c r="S82" s="225">
        <f t="shared" si="65"/>
        <v>0</v>
      </c>
      <c r="T82" s="225">
        <f t="shared" si="65"/>
        <v>0</v>
      </c>
      <c r="U82" s="225">
        <f t="shared" si="65"/>
        <v>0</v>
      </c>
      <c r="V82" s="225">
        <f t="shared" si="65"/>
        <v>0</v>
      </c>
      <c r="W82" s="225">
        <f t="shared" si="65"/>
        <v>0</v>
      </c>
      <c r="X82" s="225">
        <f t="shared" si="65"/>
        <v>0</v>
      </c>
      <c r="Y82" s="225">
        <f t="shared" si="65"/>
        <v>0</v>
      </c>
      <c r="Z82" s="225">
        <f t="shared" si="65"/>
        <v>0</v>
      </c>
      <c r="AA82" s="225">
        <f t="shared" si="65"/>
        <v>0</v>
      </c>
      <c r="AB82" s="225">
        <f t="shared" si="65"/>
        <v>0</v>
      </c>
      <c r="AC82" s="225">
        <f t="shared" si="65"/>
        <v>0</v>
      </c>
      <c r="AD82" s="225">
        <f t="shared" si="65"/>
        <v>0</v>
      </c>
      <c r="AE82" s="225">
        <f t="shared" si="65"/>
        <v>0</v>
      </c>
      <c r="AF82" s="225">
        <f t="shared" si="65"/>
        <v>0</v>
      </c>
      <c r="AG82" s="225">
        <f t="shared" ref="AG82:AP82" si="66">AG22</f>
        <v>0</v>
      </c>
      <c r="AH82" s="225">
        <f t="shared" si="66"/>
        <v>0</v>
      </c>
      <c r="AI82" s="225">
        <f t="shared" si="66"/>
        <v>0</v>
      </c>
      <c r="AJ82" s="225">
        <f t="shared" si="66"/>
        <v>0</v>
      </c>
      <c r="AK82" s="225">
        <f t="shared" si="66"/>
        <v>0</v>
      </c>
      <c r="AL82" s="225">
        <f t="shared" si="66"/>
        <v>0</v>
      </c>
      <c r="AM82" s="225">
        <f t="shared" si="66"/>
        <v>0</v>
      </c>
      <c r="AN82" s="225">
        <f t="shared" si="66"/>
        <v>0</v>
      </c>
      <c r="AO82" s="225">
        <f t="shared" si="66"/>
        <v>0</v>
      </c>
      <c r="AP82" s="225">
        <f t="shared" si="66"/>
        <v>0</v>
      </c>
    </row>
    <row r="83" spans="2:42">
      <c r="B83" s="226" t="s">
        <v>27</v>
      </c>
      <c r="C83" s="227"/>
      <c r="D83" s="227"/>
      <c r="E83" s="228"/>
      <c r="F83" s="227" t="s">
        <v>26</v>
      </c>
      <c r="G83" s="228">
        <v>0</v>
      </c>
      <c r="H83" s="228">
        <v>1</v>
      </c>
      <c r="I83" s="228">
        <v>2</v>
      </c>
      <c r="J83" s="228">
        <v>3</v>
      </c>
      <c r="K83" s="228">
        <v>4</v>
      </c>
      <c r="L83" s="228">
        <v>5</v>
      </c>
      <c r="M83" s="228">
        <v>6</v>
      </c>
      <c r="N83" s="228">
        <v>7</v>
      </c>
      <c r="O83" s="228">
        <v>8</v>
      </c>
      <c r="P83" s="228">
        <v>9</v>
      </c>
      <c r="Q83" s="228">
        <v>10</v>
      </c>
      <c r="R83" s="228">
        <v>11</v>
      </c>
      <c r="S83" s="228">
        <v>12</v>
      </c>
      <c r="T83" s="228">
        <v>13</v>
      </c>
      <c r="U83" s="228">
        <v>14</v>
      </c>
      <c r="V83" s="228">
        <v>15</v>
      </c>
      <c r="W83" s="228">
        <v>16</v>
      </c>
      <c r="X83" s="228">
        <v>17</v>
      </c>
      <c r="Y83" s="228">
        <v>18</v>
      </c>
      <c r="Z83" s="228">
        <v>19</v>
      </c>
      <c r="AA83" s="228">
        <v>20</v>
      </c>
      <c r="AB83" s="228">
        <v>21</v>
      </c>
      <c r="AC83" s="228">
        <v>22</v>
      </c>
      <c r="AD83" s="228">
        <v>23</v>
      </c>
      <c r="AE83" s="228">
        <v>24</v>
      </c>
      <c r="AF83" s="228">
        <v>25</v>
      </c>
      <c r="AG83" s="228">
        <v>26</v>
      </c>
      <c r="AH83" s="228">
        <v>27</v>
      </c>
      <c r="AI83" s="228">
        <v>28</v>
      </c>
      <c r="AJ83" s="228">
        <v>29</v>
      </c>
      <c r="AK83" s="228">
        <v>30</v>
      </c>
      <c r="AL83" s="228">
        <v>31</v>
      </c>
      <c r="AM83" s="228">
        <v>32</v>
      </c>
      <c r="AN83" s="228">
        <v>33</v>
      </c>
      <c r="AO83" s="228">
        <v>34</v>
      </c>
      <c r="AP83" s="228">
        <v>35</v>
      </c>
    </row>
    <row r="84" spans="2:42">
      <c r="B84" s="226" t="s">
        <v>25</v>
      </c>
      <c r="C84" s="227"/>
      <c r="D84" s="227"/>
      <c r="E84" s="227"/>
      <c r="F84" s="229" t="e">
        <f>F67</f>
        <v>#NUM!</v>
      </c>
      <c r="G84" s="230" t="e">
        <f>1/(1+$F$84)^G83</f>
        <v>#NUM!</v>
      </c>
      <c r="H84" s="230" t="e">
        <f>1/(1+$F$84)^H83</f>
        <v>#NUM!</v>
      </c>
      <c r="I84" s="230" t="e">
        <f t="shared" ref="I84:AA84" si="67">1/(1+$F$84)^I83</f>
        <v>#NUM!</v>
      </c>
      <c r="J84" s="230" t="e">
        <f t="shared" si="67"/>
        <v>#NUM!</v>
      </c>
      <c r="K84" s="230" t="e">
        <f t="shared" si="67"/>
        <v>#NUM!</v>
      </c>
      <c r="L84" s="230" t="e">
        <f t="shared" si="67"/>
        <v>#NUM!</v>
      </c>
      <c r="M84" s="230" t="e">
        <f t="shared" si="67"/>
        <v>#NUM!</v>
      </c>
      <c r="N84" s="230" t="e">
        <f t="shared" si="67"/>
        <v>#NUM!</v>
      </c>
      <c r="O84" s="230" t="e">
        <f t="shared" si="67"/>
        <v>#NUM!</v>
      </c>
      <c r="P84" s="230" t="e">
        <f t="shared" si="67"/>
        <v>#NUM!</v>
      </c>
      <c r="Q84" s="230" t="e">
        <f t="shared" si="67"/>
        <v>#NUM!</v>
      </c>
      <c r="R84" s="230" t="e">
        <f t="shared" si="67"/>
        <v>#NUM!</v>
      </c>
      <c r="S84" s="230" t="e">
        <f t="shared" si="67"/>
        <v>#NUM!</v>
      </c>
      <c r="T84" s="230" t="e">
        <f t="shared" si="67"/>
        <v>#NUM!</v>
      </c>
      <c r="U84" s="230" t="e">
        <f t="shared" si="67"/>
        <v>#NUM!</v>
      </c>
      <c r="V84" s="230" t="e">
        <f t="shared" si="67"/>
        <v>#NUM!</v>
      </c>
      <c r="W84" s="230" t="e">
        <f t="shared" si="67"/>
        <v>#NUM!</v>
      </c>
      <c r="X84" s="230" t="e">
        <f t="shared" si="67"/>
        <v>#NUM!</v>
      </c>
      <c r="Y84" s="230" t="e">
        <f t="shared" si="67"/>
        <v>#NUM!</v>
      </c>
      <c r="Z84" s="230" t="e">
        <f t="shared" si="67"/>
        <v>#NUM!</v>
      </c>
      <c r="AA84" s="230" t="e">
        <f t="shared" si="67"/>
        <v>#NUM!</v>
      </c>
      <c r="AB84" s="230" t="e">
        <f>1/(1+$F$84)^AB83</f>
        <v>#NUM!</v>
      </c>
      <c r="AC84" s="230" t="e">
        <f>1/(1+$F$84)^AC83</f>
        <v>#NUM!</v>
      </c>
      <c r="AD84" s="230" t="e">
        <f>1/(1+$F$84)^AD83</f>
        <v>#NUM!</v>
      </c>
      <c r="AE84" s="230" t="e">
        <f>1/(1+$F$84)^AE83</f>
        <v>#NUM!</v>
      </c>
      <c r="AF84" s="230" t="e">
        <f>1/(1+$F$84)^AF83</f>
        <v>#NUM!</v>
      </c>
      <c r="AG84" s="230" t="e">
        <f t="shared" ref="AG84:AP84" si="68">1/(1+$F$84)^AG83</f>
        <v>#NUM!</v>
      </c>
      <c r="AH84" s="230" t="e">
        <f t="shared" si="68"/>
        <v>#NUM!</v>
      </c>
      <c r="AI84" s="230" t="e">
        <f t="shared" si="68"/>
        <v>#NUM!</v>
      </c>
      <c r="AJ84" s="230" t="e">
        <f t="shared" si="68"/>
        <v>#NUM!</v>
      </c>
      <c r="AK84" s="230" t="e">
        <f t="shared" si="68"/>
        <v>#NUM!</v>
      </c>
      <c r="AL84" s="230" t="e">
        <f t="shared" si="68"/>
        <v>#NUM!</v>
      </c>
      <c r="AM84" s="230" t="e">
        <f t="shared" si="68"/>
        <v>#NUM!</v>
      </c>
      <c r="AN84" s="230" t="e">
        <f t="shared" si="68"/>
        <v>#NUM!</v>
      </c>
      <c r="AO84" s="230" t="e">
        <f t="shared" si="68"/>
        <v>#NUM!</v>
      </c>
      <c r="AP84" s="230" t="e">
        <f t="shared" si="68"/>
        <v>#NUM!</v>
      </c>
    </row>
    <row r="85" spans="2:42">
      <c r="B85" s="225" t="s">
        <v>47</v>
      </c>
      <c r="C85" s="225"/>
      <c r="D85" s="225"/>
      <c r="E85" s="225"/>
      <c r="F85" s="231" t="e">
        <f>SUM(G85:AP85)</f>
        <v>#NUM!</v>
      </c>
      <c r="G85" s="225">
        <f>G24</f>
        <v>0</v>
      </c>
      <c r="H85" s="225" t="e">
        <f>H82*H84</f>
        <v>#NUM!</v>
      </c>
      <c r="I85" s="225" t="e">
        <f t="shared" ref="I85:AA85" si="69">I82*I84</f>
        <v>#NUM!</v>
      </c>
      <c r="J85" s="225" t="e">
        <f t="shared" si="69"/>
        <v>#NUM!</v>
      </c>
      <c r="K85" s="225" t="e">
        <f t="shared" si="69"/>
        <v>#NUM!</v>
      </c>
      <c r="L85" s="225" t="e">
        <f t="shared" si="69"/>
        <v>#NUM!</v>
      </c>
      <c r="M85" s="225" t="e">
        <f t="shared" si="69"/>
        <v>#NUM!</v>
      </c>
      <c r="N85" s="225" t="e">
        <f t="shared" si="69"/>
        <v>#NUM!</v>
      </c>
      <c r="O85" s="225" t="e">
        <f t="shared" si="69"/>
        <v>#NUM!</v>
      </c>
      <c r="P85" s="225" t="e">
        <f t="shared" si="69"/>
        <v>#NUM!</v>
      </c>
      <c r="Q85" s="225" t="e">
        <f t="shared" si="69"/>
        <v>#NUM!</v>
      </c>
      <c r="R85" s="225" t="e">
        <f t="shared" si="69"/>
        <v>#NUM!</v>
      </c>
      <c r="S85" s="225" t="e">
        <f t="shared" si="69"/>
        <v>#NUM!</v>
      </c>
      <c r="T85" s="225" t="e">
        <f t="shared" si="69"/>
        <v>#NUM!</v>
      </c>
      <c r="U85" s="225" t="e">
        <f t="shared" si="69"/>
        <v>#NUM!</v>
      </c>
      <c r="V85" s="225" t="e">
        <f t="shared" si="69"/>
        <v>#NUM!</v>
      </c>
      <c r="W85" s="225" t="e">
        <f t="shared" si="69"/>
        <v>#NUM!</v>
      </c>
      <c r="X85" s="225" t="e">
        <f t="shared" si="69"/>
        <v>#NUM!</v>
      </c>
      <c r="Y85" s="225" t="e">
        <f t="shared" si="69"/>
        <v>#NUM!</v>
      </c>
      <c r="Z85" s="225" t="e">
        <f t="shared" si="69"/>
        <v>#NUM!</v>
      </c>
      <c r="AA85" s="225" t="e">
        <f t="shared" si="69"/>
        <v>#NUM!</v>
      </c>
      <c r="AB85" s="225" t="e">
        <f>AB82*AB84</f>
        <v>#NUM!</v>
      </c>
      <c r="AC85" s="225" t="e">
        <f>AC82*AC84</f>
        <v>#NUM!</v>
      </c>
      <c r="AD85" s="225" t="e">
        <f>AD82*AD84</f>
        <v>#NUM!</v>
      </c>
      <c r="AE85" s="225" t="e">
        <f>AE82*AE84</f>
        <v>#NUM!</v>
      </c>
      <c r="AF85" s="225" t="e">
        <f>AF82*AF84</f>
        <v>#NUM!</v>
      </c>
      <c r="AG85" s="225" t="e">
        <f t="shared" ref="AG85:AP85" si="70">AG82*AG84</f>
        <v>#NUM!</v>
      </c>
      <c r="AH85" s="225" t="e">
        <f t="shared" si="70"/>
        <v>#NUM!</v>
      </c>
      <c r="AI85" s="225" t="e">
        <f t="shared" si="70"/>
        <v>#NUM!</v>
      </c>
      <c r="AJ85" s="225" t="e">
        <f t="shared" si="70"/>
        <v>#NUM!</v>
      </c>
      <c r="AK85" s="225" t="e">
        <f t="shared" si="70"/>
        <v>#NUM!</v>
      </c>
      <c r="AL85" s="225" t="e">
        <f t="shared" si="70"/>
        <v>#NUM!</v>
      </c>
      <c r="AM85" s="225" t="e">
        <f t="shared" si="70"/>
        <v>#NUM!</v>
      </c>
      <c r="AN85" s="225" t="e">
        <f t="shared" si="70"/>
        <v>#NUM!</v>
      </c>
      <c r="AO85" s="225" t="e">
        <f t="shared" si="70"/>
        <v>#NUM!</v>
      </c>
      <c r="AP85" s="225" t="e">
        <f t="shared" si="70"/>
        <v>#NUM!</v>
      </c>
    </row>
  </sheetData>
  <pageMargins left="0.70866141732283472" right="0.70866141732283472" top="0.78740157480314965" bottom="0.78740157480314965" header="0.31496062992125984" footer="0.31496062992125984"/>
  <pageSetup paperSize="8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I44"/>
  <sheetViews>
    <sheetView view="pageBreakPreview" zoomScale="85" zoomScaleNormal="100" zoomScaleSheetLayoutView="85" workbookViewId="0">
      <selection activeCell="D6" sqref="D6"/>
    </sheetView>
  </sheetViews>
  <sheetFormatPr defaultColWidth="11.5703125" defaultRowHeight="15"/>
  <cols>
    <col min="1" max="1" width="2.5703125" customWidth="1"/>
    <col min="8" max="8" width="11.42578125" customWidth="1"/>
    <col min="9" max="9" width="2.5703125" customWidth="1"/>
  </cols>
  <sheetData>
    <row r="1" spans="1:9" s="6" customFormat="1" ht="13.5" thickTop="1">
      <c r="A1" s="167"/>
      <c r="B1" s="168"/>
      <c r="C1" s="168"/>
      <c r="D1" s="168"/>
      <c r="E1" s="168"/>
      <c r="F1" s="168"/>
      <c r="G1" s="168"/>
      <c r="H1" s="168"/>
      <c r="I1" s="169"/>
    </row>
    <row r="2" spans="1:9" s="6" customFormat="1">
      <c r="A2" s="170"/>
      <c r="B2" s="67" t="s">
        <v>58</v>
      </c>
      <c r="C2" s="89"/>
      <c r="D2" s="160"/>
      <c r="E2" s="161"/>
      <c r="F2" s="143"/>
      <c r="G2" s="143"/>
      <c r="H2" s="143"/>
      <c r="I2" s="171"/>
    </row>
    <row r="3" spans="1:9" s="6" customFormat="1" ht="15.75" customHeight="1">
      <c r="A3" s="170"/>
      <c r="B3" s="67" t="s">
        <v>50</v>
      </c>
      <c r="C3" s="89"/>
      <c r="D3" s="69"/>
      <c r="E3" s="70"/>
      <c r="F3" s="143"/>
      <c r="G3" s="143"/>
      <c r="H3" s="143"/>
      <c r="I3" s="171"/>
    </row>
    <row r="4" spans="1:9" s="6" customFormat="1" ht="15.75" customHeight="1">
      <c r="A4" s="170"/>
      <c r="B4" s="83" t="str">
        <f>'Dane inwestycji'!D6</f>
        <v>miejscowość, powiat</v>
      </c>
      <c r="C4" s="89"/>
      <c r="D4" s="69"/>
      <c r="E4" s="70"/>
      <c r="F4" s="143"/>
      <c r="G4" s="143"/>
      <c r="H4" s="143"/>
      <c r="I4" s="171"/>
    </row>
    <row r="5" spans="1:9" s="6" customFormat="1" ht="14.25" customHeight="1">
      <c r="A5" s="170"/>
      <c r="C5" s="82"/>
      <c r="D5" s="82"/>
      <c r="E5" s="82"/>
      <c r="I5" s="171"/>
    </row>
    <row r="6" spans="1:9">
      <c r="A6" s="198"/>
      <c r="E6" s="241" t="s">
        <v>44</v>
      </c>
      <c r="I6" s="199"/>
    </row>
    <row r="7" spans="1:9" s="4" customFormat="1" ht="14.25">
      <c r="A7" s="200"/>
      <c r="I7" s="201"/>
    </row>
    <row r="8" spans="1:9">
      <c r="A8" s="200"/>
      <c r="B8" s="4"/>
      <c r="C8" s="4"/>
      <c r="D8" s="4"/>
      <c r="E8" s="4"/>
      <c r="F8" s="4"/>
      <c r="G8" s="4"/>
      <c r="H8" s="4"/>
      <c r="I8" s="201"/>
    </row>
    <row r="9" spans="1:9" s="4" customFormat="1" ht="14.25">
      <c r="A9" s="200"/>
      <c r="I9" s="201"/>
    </row>
    <row r="10" spans="1:9" s="4" customFormat="1" ht="14.25">
      <c r="A10" s="200"/>
      <c r="I10" s="201"/>
    </row>
    <row r="11" spans="1:9" s="4" customFormat="1" ht="14.25">
      <c r="A11" s="200"/>
      <c r="I11" s="201"/>
    </row>
    <row r="12" spans="1:9" s="4" customFormat="1" ht="14.25">
      <c r="A12" s="200"/>
      <c r="I12" s="201"/>
    </row>
    <row r="13" spans="1:9" s="4" customFormat="1" ht="14.25">
      <c r="A13" s="200"/>
      <c r="I13" s="201"/>
    </row>
    <row r="14" spans="1:9" s="4" customFormat="1" ht="14.25">
      <c r="A14" s="200"/>
      <c r="I14" s="201"/>
    </row>
    <row r="15" spans="1:9" s="4" customFormat="1" ht="14.25">
      <c r="A15" s="200"/>
      <c r="I15" s="201"/>
    </row>
    <row r="16" spans="1:9" s="4" customFormat="1" ht="14.25">
      <c r="A16" s="200"/>
      <c r="I16" s="201"/>
    </row>
    <row r="17" spans="1:9" s="4" customFormat="1" ht="14.25">
      <c r="A17" s="200"/>
      <c r="I17" s="201"/>
    </row>
    <row r="18" spans="1:9" s="4" customFormat="1" ht="14.25">
      <c r="A18" s="200"/>
      <c r="I18" s="201"/>
    </row>
    <row r="19" spans="1:9" s="4" customFormat="1" ht="14.25">
      <c r="A19" s="200"/>
      <c r="I19" s="201"/>
    </row>
    <row r="20" spans="1:9" s="4" customFormat="1" ht="14.25">
      <c r="A20" s="200"/>
      <c r="I20" s="201"/>
    </row>
    <row r="21" spans="1:9" s="4" customFormat="1" ht="14.25">
      <c r="A21" s="200"/>
      <c r="I21" s="201"/>
    </row>
    <row r="22" spans="1:9" s="4" customFormat="1" ht="14.25">
      <c r="A22" s="200"/>
      <c r="I22" s="201"/>
    </row>
    <row r="23" spans="1:9" s="4" customFormat="1" ht="14.25">
      <c r="A23" s="200"/>
      <c r="I23" s="201"/>
    </row>
    <row r="24" spans="1:9" s="4" customFormat="1" ht="14.25">
      <c r="A24" s="200"/>
      <c r="I24" s="201"/>
    </row>
    <row r="25" spans="1:9" s="4" customFormat="1" ht="14.25">
      <c r="A25" s="200"/>
      <c r="I25" s="201"/>
    </row>
    <row r="26" spans="1:9" s="4" customFormat="1" ht="14.25">
      <c r="A26" s="200"/>
      <c r="I26" s="201"/>
    </row>
    <row r="27" spans="1:9" s="4" customFormat="1" ht="14.25">
      <c r="A27" s="200"/>
      <c r="I27" s="201"/>
    </row>
    <row r="28" spans="1:9" s="4" customFormat="1">
      <c r="A28" s="198"/>
      <c r="B28"/>
      <c r="C28"/>
      <c r="D28"/>
      <c r="E28"/>
      <c r="F28"/>
      <c r="G28"/>
      <c r="H28"/>
      <c r="I28" s="199"/>
    </row>
    <row r="29" spans="1:9" s="4" customFormat="1">
      <c r="A29" s="198"/>
      <c r="B29"/>
      <c r="C29"/>
      <c r="D29"/>
      <c r="E29"/>
      <c r="F29"/>
      <c r="G29"/>
      <c r="H29"/>
      <c r="I29" s="199"/>
    </row>
    <row r="30" spans="1:9">
      <c r="A30" s="198"/>
      <c r="I30" s="199"/>
    </row>
    <row r="31" spans="1:9">
      <c r="A31" s="198"/>
      <c r="I31" s="199"/>
    </row>
    <row r="32" spans="1:9">
      <c r="A32" s="198"/>
      <c r="I32" s="199"/>
    </row>
    <row r="33" spans="1:9">
      <c r="A33" s="198"/>
      <c r="I33" s="199"/>
    </row>
    <row r="34" spans="1:9">
      <c r="A34" s="198"/>
      <c r="I34" s="199"/>
    </row>
    <row r="35" spans="1:9">
      <c r="A35" s="198"/>
      <c r="I35" s="199"/>
    </row>
    <row r="36" spans="1:9">
      <c r="A36" s="198"/>
      <c r="I36" s="199"/>
    </row>
    <row r="37" spans="1:9">
      <c r="A37" s="198"/>
      <c r="I37" s="199"/>
    </row>
    <row r="38" spans="1:9">
      <c r="A38" s="198"/>
      <c r="I38" s="199"/>
    </row>
    <row r="39" spans="1:9">
      <c r="A39" s="198"/>
      <c r="I39" s="199"/>
    </row>
    <row r="40" spans="1:9">
      <c r="A40" s="198"/>
      <c r="I40" s="199"/>
    </row>
    <row r="41" spans="1:9">
      <c r="A41" s="198"/>
      <c r="I41" s="199"/>
    </row>
    <row r="42" spans="1:9">
      <c r="A42" s="198"/>
      <c r="I42" s="199"/>
    </row>
    <row r="43" spans="1:9" ht="24" customHeight="1" thickBot="1">
      <c r="A43" s="202"/>
      <c r="B43" s="203"/>
      <c r="C43" s="203"/>
      <c r="D43" s="203"/>
      <c r="E43" s="203"/>
      <c r="F43" s="203"/>
      <c r="G43" s="203"/>
      <c r="H43" s="203"/>
      <c r="I43" s="204"/>
    </row>
    <row r="44" spans="1:9" ht="15.75" thickTop="1"/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Dane inwestycji</vt:lpstr>
      <vt:lpstr>wykresy</vt:lpstr>
      <vt:lpstr>PL &amp; Cash Flow</vt:lpstr>
      <vt:lpstr>Charts</vt:lpstr>
      <vt:lpstr>Annuity</vt:lpstr>
      <vt:lpstr>Equal_P</vt:lpstr>
      <vt:lpstr>'Dane inwestycji'!Obszar_wydruku</vt:lpstr>
      <vt:lpstr>'PL &amp; Cash Flow'!Obszar_wydruku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cp:lastPrinted>2025-08-11T11:53:05Z</cp:lastPrinted>
  <dcterms:created xsi:type="dcterms:W3CDTF">2011-10-10T11:18:39Z</dcterms:created>
  <dcterms:modified xsi:type="dcterms:W3CDTF">2026-01-22T09:41:54Z</dcterms:modified>
</cp:coreProperties>
</file>